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Users\PTong\LD Rally Team Dropbox\Paul Tong\BoomTown\"/>
    </mc:Choice>
  </mc:AlternateContent>
  <xr:revisionPtr revIDLastSave="0" documentId="13_ncr:1_{91D59616-6310-4787-8DB8-E8946421CCEF}" xr6:coauthVersionLast="47" xr6:coauthVersionMax="47" xr10:uidLastSave="{00000000-0000-0000-0000-000000000000}"/>
  <workbookProtection workbookAlgorithmName="SHA-512" workbookHashValue="IJUTCUelKD9Q2U1TDwqxsusfgE0dRTZGE1xBvCGnOqC4f7ynoRFe37hGuLN9oBy6N9rE+Nnv8nZgbvNA3HsNHQ==" workbookSaltValue="tQC6zDQQ+xXx1rw20Pa5Xw==" workbookSpinCount="100000" lockStructure="1"/>
  <bookViews>
    <workbookView xWindow="-28920" yWindow="-120" windowWidth="29040" windowHeight="15840" xr2:uid="{9CBA70F2-5873-4C25-BABA-FD926A8A9A29}"/>
  </bookViews>
  <sheets>
    <sheet name="Bonuses" sheetId="1" r:id="rId1"/>
    <sheet name="Rider ScoreSheet Helper (a)" sheetId="17" state="hidden" r:id="rId2"/>
    <sheet name="ScoreHelper" sheetId="18" r:id="rId3"/>
    <sheet name="SCORE(1)" sheetId="10"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7" i="1" l="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166"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3" i="1"/>
  <c r="AD10" i="18"/>
  <c r="AD9" i="18"/>
  <c r="AD8" i="18"/>
  <c r="B11" i="10"/>
  <c r="B12" i="10"/>
  <c r="B13" i="10"/>
  <c r="B14" i="10"/>
  <c r="B15" i="10"/>
  <c r="B16" i="10"/>
  <c r="B17" i="10"/>
  <c r="B18" i="10"/>
  <c r="B19" i="10"/>
  <c r="B20" i="10"/>
  <c r="B21" i="10"/>
  <c r="B22" i="10"/>
  <c r="B23" i="10"/>
  <c r="B24" i="10"/>
  <c r="B25" i="10"/>
  <c r="B26" i="10"/>
  <c r="B27" i="10"/>
  <c r="B28" i="10"/>
  <c r="B29" i="10"/>
  <c r="B30" i="10"/>
  <c r="B31" i="10"/>
  <c r="B32" i="10"/>
  <c r="B33" i="10"/>
  <c r="B34" i="10"/>
  <c r="B35" i="10"/>
  <c r="A5" i="18"/>
  <c r="F5" i="18" s="1"/>
  <c r="B3" i="10"/>
  <c r="A9" i="18"/>
  <c r="AA26" i="18"/>
  <c r="AA27" i="18"/>
  <c r="AA28" i="18"/>
  <c r="AA29" i="18"/>
  <c r="AA30" i="18"/>
  <c r="AA31" i="18"/>
  <c r="AA32" i="18"/>
  <c r="AA33" i="18"/>
  <c r="AA34" i="18"/>
  <c r="AA35" i="18"/>
  <c r="AA36" i="18"/>
  <c r="AA37" i="18"/>
  <c r="AA38" i="18"/>
  <c r="AA39" i="18"/>
  <c r="AA40" i="18"/>
  <c r="AA41" i="18"/>
  <c r="AA42" i="18"/>
  <c r="AA43" i="18"/>
  <c r="AA44" i="18"/>
  <c r="AA45" i="18"/>
  <c r="AA46" i="18"/>
  <c r="AA47" i="18"/>
  <c r="AA48" i="18"/>
  <c r="AA49" i="18"/>
  <c r="AA50" i="18"/>
  <c r="AA51" i="18"/>
  <c r="AA52" i="18"/>
  <c r="AA53" i="18"/>
  <c r="AA54" i="18"/>
  <c r="AA55" i="18"/>
  <c r="AA56" i="18"/>
  <c r="AA57" i="18"/>
  <c r="AA58" i="18"/>
  <c r="AA59" i="18"/>
  <c r="AA60" i="18"/>
  <c r="AA61" i="18"/>
  <c r="AA62" i="18"/>
  <c r="AA63" i="18"/>
  <c r="AA64" i="18"/>
  <c r="AA65" i="18"/>
  <c r="AA66" i="18"/>
  <c r="AA67" i="18"/>
  <c r="AA68" i="18"/>
  <c r="AA69" i="18"/>
  <c r="AA70" i="18"/>
  <c r="AA71" i="18"/>
  <c r="AA72" i="18"/>
  <c r="AA73" i="18"/>
  <c r="AA74" i="18"/>
  <c r="AA75" i="18"/>
  <c r="AA76" i="18"/>
  <c r="AA77" i="18"/>
  <c r="AA78" i="18"/>
  <c r="AA79" i="18"/>
  <c r="AA80" i="18"/>
  <c r="AA81" i="18"/>
  <c r="AA82" i="18"/>
  <c r="AA83" i="18"/>
  <c r="AA84" i="18"/>
  <c r="AA85" i="18"/>
  <c r="AA86" i="18"/>
  <c r="AA87" i="18"/>
  <c r="AA88" i="18"/>
  <c r="AA89" i="18"/>
  <c r="AA90" i="18"/>
  <c r="AA91" i="18"/>
  <c r="AA92" i="18"/>
  <c r="AA93" i="18"/>
  <c r="AA94" i="18"/>
  <c r="AA95" i="18"/>
  <c r="AA96" i="18"/>
  <c r="AA97" i="18"/>
  <c r="AA98" i="18"/>
  <c r="AA99" i="18"/>
  <c r="AA100" i="18"/>
  <c r="AA101" i="18"/>
  <c r="AA102" i="18"/>
  <c r="AA103" i="18"/>
  <c r="AA104" i="18"/>
  <c r="AA105" i="18"/>
  <c r="AA106" i="18"/>
  <c r="AA107" i="18"/>
  <c r="AA108" i="18"/>
  <c r="AA109" i="18"/>
  <c r="AA110" i="18"/>
  <c r="AA111" i="18"/>
  <c r="AA112" i="18"/>
  <c r="AA113" i="18"/>
  <c r="AA114" i="18"/>
  <c r="AA115" i="18"/>
  <c r="AA116" i="18"/>
  <c r="AA117" i="18"/>
  <c r="AA118" i="18"/>
  <c r="AA119" i="18"/>
  <c r="AA120" i="18"/>
  <c r="AA121" i="18"/>
  <c r="AA122" i="18"/>
  <c r="AA123" i="18"/>
  <c r="AA124" i="18"/>
  <c r="AA125" i="18"/>
  <c r="AA126" i="18"/>
  <c r="AA127" i="18"/>
  <c r="AA128" i="18"/>
  <c r="AA129" i="18"/>
  <c r="AA130" i="18"/>
  <c r="AA131" i="18"/>
  <c r="AA132" i="18"/>
  <c r="AA133" i="18"/>
  <c r="AA134" i="18"/>
  <c r="AA135" i="18"/>
  <c r="AA136" i="18"/>
  <c r="AA137" i="18"/>
  <c r="AA138" i="18"/>
  <c r="AA139" i="18"/>
  <c r="V26" i="18"/>
  <c r="V27" i="18"/>
  <c r="V28" i="18"/>
  <c r="V29" i="18"/>
  <c r="V30" i="18"/>
  <c r="V31" i="18"/>
  <c r="V32" i="18"/>
  <c r="V33" i="18"/>
  <c r="V34" i="18"/>
  <c r="V35" i="18"/>
  <c r="V36" i="18"/>
  <c r="V37" i="18"/>
  <c r="V38" i="18"/>
  <c r="V39" i="18"/>
  <c r="V40" i="18"/>
  <c r="V41" i="18"/>
  <c r="V42" i="18"/>
  <c r="V43" i="18"/>
  <c r="V44" i="18"/>
  <c r="V45" i="18"/>
  <c r="V46" i="18"/>
  <c r="V47" i="18"/>
  <c r="V48" i="18"/>
  <c r="V49" i="18"/>
  <c r="V50" i="18"/>
  <c r="V51" i="18"/>
  <c r="V52" i="18"/>
  <c r="V53" i="18"/>
  <c r="V54" i="18"/>
  <c r="V55" i="18"/>
  <c r="V56" i="18"/>
  <c r="V57" i="18"/>
  <c r="V58" i="18"/>
  <c r="V59" i="18"/>
  <c r="V60" i="18"/>
  <c r="V61" i="18"/>
  <c r="V62" i="18"/>
  <c r="V63" i="18"/>
  <c r="V64" i="18"/>
  <c r="V65" i="18"/>
  <c r="V66" i="18"/>
  <c r="V67" i="18"/>
  <c r="V68" i="18"/>
  <c r="V69" i="18"/>
  <c r="V70" i="18"/>
  <c r="V71" i="18"/>
  <c r="V72" i="18"/>
  <c r="V73" i="18"/>
  <c r="V74" i="18"/>
  <c r="V75" i="18"/>
  <c r="V76" i="18"/>
  <c r="V77" i="18"/>
  <c r="V78" i="18"/>
  <c r="V79" i="18"/>
  <c r="V80" i="18"/>
  <c r="V81" i="18"/>
  <c r="V82" i="18"/>
  <c r="V83" i="18"/>
  <c r="V84" i="18"/>
  <c r="V85" i="18"/>
  <c r="V86" i="18"/>
  <c r="V87" i="18"/>
  <c r="V88" i="18"/>
  <c r="V89" i="18"/>
  <c r="V90" i="18"/>
  <c r="V91" i="18"/>
  <c r="V92" i="18"/>
  <c r="V93" i="18"/>
  <c r="V94" i="18"/>
  <c r="V95" i="18"/>
  <c r="V96" i="18"/>
  <c r="V97" i="18"/>
  <c r="V98" i="18"/>
  <c r="V99" i="18"/>
  <c r="V100" i="18"/>
  <c r="V101" i="18"/>
  <c r="V102" i="18"/>
  <c r="V103" i="18"/>
  <c r="V104" i="18"/>
  <c r="V105" i="18"/>
  <c r="V106" i="18"/>
  <c r="V107" i="18"/>
  <c r="V108" i="18"/>
  <c r="V109" i="18"/>
  <c r="V110" i="18"/>
  <c r="V111" i="18"/>
  <c r="V112" i="18"/>
  <c r="V113" i="18"/>
  <c r="V114" i="18"/>
  <c r="V115" i="18"/>
  <c r="V116" i="18"/>
  <c r="V117" i="18"/>
  <c r="V118" i="18"/>
  <c r="V119" i="18"/>
  <c r="V120" i="18"/>
  <c r="V121" i="18"/>
  <c r="V122" i="18"/>
  <c r="V123" i="18"/>
  <c r="V124" i="18"/>
  <c r="V125" i="18"/>
  <c r="V126" i="18"/>
  <c r="V127" i="18"/>
  <c r="V128" i="18"/>
  <c r="V129" i="18"/>
  <c r="V130" i="18"/>
  <c r="V131" i="18"/>
  <c r="V132" i="18"/>
  <c r="V133" i="18"/>
  <c r="V134" i="18"/>
  <c r="V135" i="18"/>
  <c r="V136" i="18"/>
  <c r="V137" i="18"/>
  <c r="V138" i="18"/>
  <c r="V139" i="18"/>
  <c r="R109" i="18"/>
  <c r="R110" i="18"/>
  <c r="R111" i="18"/>
  <c r="R112" i="18"/>
  <c r="R113" i="18"/>
  <c r="R114" i="18"/>
  <c r="R115" i="18"/>
  <c r="R116" i="18"/>
  <c r="R117" i="18"/>
  <c r="R118" i="18"/>
  <c r="R119" i="18"/>
  <c r="R120" i="18"/>
  <c r="R121" i="18"/>
  <c r="R122" i="18"/>
  <c r="R123" i="18"/>
  <c r="R124" i="18"/>
  <c r="R125" i="18"/>
  <c r="R126" i="18"/>
  <c r="R127" i="18"/>
  <c r="R128" i="18"/>
  <c r="R129" i="18"/>
  <c r="R130" i="18"/>
  <c r="R131" i="18"/>
  <c r="R132" i="18"/>
  <c r="R133" i="18"/>
  <c r="R134" i="18"/>
  <c r="R135" i="18"/>
  <c r="R136" i="18"/>
  <c r="R137" i="18"/>
  <c r="R138" i="18"/>
  <c r="R139" i="18"/>
  <c r="N26" i="18"/>
  <c r="N27" i="18"/>
  <c r="N28" i="18"/>
  <c r="N29" i="18"/>
  <c r="N30" i="18"/>
  <c r="N31" i="18"/>
  <c r="N32" i="18"/>
  <c r="N33" i="18"/>
  <c r="N34" i="18"/>
  <c r="N35" i="18"/>
  <c r="N36" i="18"/>
  <c r="N37" i="18"/>
  <c r="N38" i="18"/>
  <c r="N39" i="18"/>
  <c r="N40" i="18"/>
  <c r="N41" i="18"/>
  <c r="N42" i="18"/>
  <c r="N43" i="18"/>
  <c r="N44" i="18"/>
  <c r="N45" i="18"/>
  <c r="N46" i="18"/>
  <c r="N47" i="18"/>
  <c r="N48" i="18"/>
  <c r="N49" i="18"/>
  <c r="N50" i="18"/>
  <c r="N51" i="18"/>
  <c r="N52" i="18"/>
  <c r="N53" i="18"/>
  <c r="N54" i="18"/>
  <c r="N55" i="18"/>
  <c r="N56" i="18"/>
  <c r="N57" i="18"/>
  <c r="N58" i="18"/>
  <c r="N59" i="18"/>
  <c r="N60" i="18"/>
  <c r="N61" i="18"/>
  <c r="N62" i="18"/>
  <c r="N63" i="18"/>
  <c r="N64" i="18"/>
  <c r="N65" i="18"/>
  <c r="N66" i="18"/>
  <c r="N67" i="18"/>
  <c r="N68" i="18"/>
  <c r="N69" i="18"/>
  <c r="N70" i="18"/>
  <c r="N71" i="18"/>
  <c r="N72" i="18"/>
  <c r="N73" i="18"/>
  <c r="N74" i="18"/>
  <c r="N75" i="18"/>
  <c r="N76" i="18"/>
  <c r="N77" i="18"/>
  <c r="N78" i="18"/>
  <c r="N79" i="18"/>
  <c r="N80" i="18"/>
  <c r="N81" i="18"/>
  <c r="N82" i="18"/>
  <c r="N83" i="18"/>
  <c r="N84" i="18"/>
  <c r="N85" i="18"/>
  <c r="N86" i="18"/>
  <c r="N87" i="18"/>
  <c r="N88" i="18"/>
  <c r="N89" i="18"/>
  <c r="N90" i="18"/>
  <c r="N91" i="18"/>
  <c r="N92" i="18"/>
  <c r="N93" i="18"/>
  <c r="N94" i="18"/>
  <c r="N95" i="18"/>
  <c r="N96" i="18"/>
  <c r="N97" i="18"/>
  <c r="N98" i="18"/>
  <c r="N99" i="18"/>
  <c r="N100" i="18"/>
  <c r="N101" i="18"/>
  <c r="N102" i="18"/>
  <c r="N103" i="18"/>
  <c r="N104" i="18"/>
  <c r="N105" i="18"/>
  <c r="N106" i="18"/>
  <c r="N107" i="18"/>
  <c r="N108" i="18"/>
  <c r="N109" i="18"/>
  <c r="N110" i="18"/>
  <c r="N111" i="18"/>
  <c r="N112" i="18"/>
  <c r="N113" i="18"/>
  <c r="N114" i="18"/>
  <c r="N115" i="18"/>
  <c r="N116" i="18"/>
  <c r="N117" i="18"/>
  <c r="N118" i="18"/>
  <c r="N119" i="18"/>
  <c r="N120" i="18"/>
  <c r="N121" i="18"/>
  <c r="N122" i="18"/>
  <c r="N123" i="18"/>
  <c r="N124" i="18"/>
  <c r="N125" i="18"/>
  <c r="N126" i="18"/>
  <c r="N127" i="18"/>
  <c r="N128" i="18"/>
  <c r="N129" i="18"/>
  <c r="N130" i="18"/>
  <c r="N131" i="18"/>
  <c r="N132" i="18"/>
  <c r="N133" i="18"/>
  <c r="N134" i="18"/>
  <c r="N135" i="18"/>
  <c r="N136" i="18"/>
  <c r="N137" i="18"/>
  <c r="N138" i="18"/>
  <c r="N139" i="18"/>
  <c r="AA25" i="18"/>
  <c r="V25" i="18"/>
  <c r="N25" i="18"/>
  <c r="F26" i="18"/>
  <c r="F27" i="18"/>
  <c r="F28" i="18"/>
  <c r="F29" i="18"/>
  <c r="F30" i="18"/>
  <c r="F31" i="18"/>
  <c r="F32" i="18"/>
  <c r="F33" i="18"/>
  <c r="F34" i="18"/>
  <c r="F35" i="18"/>
  <c r="F36" i="18"/>
  <c r="F37" i="18"/>
  <c r="F38" i="18"/>
  <c r="F39" i="18"/>
  <c r="F40" i="18"/>
  <c r="F41" i="18"/>
  <c r="F42" i="18"/>
  <c r="F43" i="18"/>
  <c r="F44" i="18"/>
  <c r="F45" i="18"/>
  <c r="F46" i="18"/>
  <c r="F47" i="18"/>
  <c r="F48" i="18"/>
  <c r="F49" i="18"/>
  <c r="F50" i="18"/>
  <c r="F51" i="18"/>
  <c r="F52" i="18"/>
  <c r="F53" i="18"/>
  <c r="F54" i="18"/>
  <c r="F55" i="18"/>
  <c r="F56" i="18"/>
  <c r="F57" i="18"/>
  <c r="F58" i="18"/>
  <c r="F59" i="18"/>
  <c r="F60" i="18"/>
  <c r="F61" i="18"/>
  <c r="F62" i="18"/>
  <c r="F63" i="18"/>
  <c r="F64" i="18"/>
  <c r="F65" i="18"/>
  <c r="F66" i="18"/>
  <c r="F67" i="18"/>
  <c r="F68" i="18"/>
  <c r="F69" i="18"/>
  <c r="F70" i="18"/>
  <c r="F71" i="18"/>
  <c r="F72" i="18"/>
  <c r="F73" i="18"/>
  <c r="F74" i="18"/>
  <c r="F75" i="18"/>
  <c r="F76" i="18"/>
  <c r="F77" i="18"/>
  <c r="F78" i="18"/>
  <c r="F79" i="18"/>
  <c r="F80" i="18"/>
  <c r="F81" i="18"/>
  <c r="F82" i="18"/>
  <c r="F83" i="18"/>
  <c r="F84" i="18"/>
  <c r="F85" i="18"/>
  <c r="F86" i="18"/>
  <c r="F87" i="18"/>
  <c r="F88" i="18"/>
  <c r="F89" i="18"/>
  <c r="F90" i="18"/>
  <c r="F91" i="18"/>
  <c r="F92" i="18"/>
  <c r="F93" i="18"/>
  <c r="F94" i="18"/>
  <c r="F95" i="18"/>
  <c r="F96" i="18"/>
  <c r="F97" i="18"/>
  <c r="F98" i="18"/>
  <c r="F99" i="18"/>
  <c r="F100" i="18"/>
  <c r="F101" i="18"/>
  <c r="F102" i="18"/>
  <c r="F103" i="18"/>
  <c r="F104" i="18"/>
  <c r="F105" i="18"/>
  <c r="F106" i="18"/>
  <c r="F107" i="18"/>
  <c r="F108" i="18"/>
  <c r="F109" i="18"/>
  <c r="F110" i="18"/>
  <c r="F111" i="18"/>
  <c r="F112" i="18"/>
  <c r="F113" i="18"/>
  <c r="F114" i="18"/>
  <c r="F115" i="18"/>
  <c r="F116" i="18"/>
  <c r="F117" i="18"/>
  <c r="F118" i="18"/>
  <c r="F119" i="18"/>
  <c r="F120" i="18"/>
  <c r="F121" i="18"/>
  <c r="F122" i="18"/>
  <c r="F123" i="18"/>
  <c r="F124" i="18"/>
  <c r="F125" i="18"/>
  <c r="F126" i="18"/>
  <c r="F127" i="18"/>
  <c r="F128" i="18"/>
  <c r="F129" i="18"/>
  <c r="F130" i="18"/>
  <c r="F131" i="18"/>
  <c r="F132" i="18"/>
  <c r="F133" i="18"/>
  <c r="F134" i="18"/>
  <c r="F135" i="18"/>
  <c r="F136" i="18"/>
  <c r="F137" i="18"/>
  <c r="F138" i="18"/>
  <c r="F139" i="18"/>
  <c r="F25" i="18"/>
  <c r="B36" i="10"/>
  <c r="B37" i="10"/>
  <c r="B38" i="10"/>
  <c r="B39" i="10"/>
  <c r="B40" i="10"/>
  <c r="B41" i="10"/>
  <c r="B42" i="10"/>
  <c r="B43" i="10"/>
  <c r="B44" i="10"/>
  <c r="B45" i="10"/>
  <c r="B46" i="10"/>
  <c r="B47" i="10"/>
  <c r="B48" i="10"/>
  <c r="B49" i="10"/>
  <c r="B50" i="10"/>
  <c r="B51" i="10"/>
  <c r="B52" i="10"/>
  <c r="B53" i="10"/>
  <c r="B54" i="10"/>
  <c r="B55" i="10"/>
  <c r="B56" i="10"/>
  <c r="B57" i="10"/>
  <c r="B58" i="10"/>
  <c r="B59" i="10"/>
  <c r="B60" i="10"/>
  <c r="B61" i="10"/>
  <c r="B62" i="10"/>
  <c r="B63" i="10"/>
  <c r="B64" i="10"/>
  <c r="B65" i="10"/>
  <c r="B66" i="10"/>
  <c r="B67" i="10"/>
  <c r="B68" i="10"/>
  <c r="B69" i="10"/>
  <c r="B70" i="10"/>
  <c r="B71" i="10"/>
  <c r="B72" i="10"/>
  <c r="B73" i="10"/>
  <c r="B74" i="10"/>
  <c r="B75" i="10"/>
  <c r="B76" i="10"/>
  <c r="B77" i="10"/>
  <c r="B78" i="10"/>
  <c r="B79" i="10"/>
  <c r="B80" i="10"/>
  <c r="B81" i="10"/>
  <c r="B82" i="10"/>
  <c r="B83" i="10"/>
  <c r="B84" i="10"/>
  <c r="B85" i="10"/>
  <c r="B86" i="10"/>
  <c r="B87" i="10"/>
  <c r="B88" i="10"/>
  <c r="B89" i="10"/>
  <c r="B90" i="10"/>
  <c r="B91" i="10"/>
  <c r="B92" i="10"/>
  <c r="B93" i="10"/>
  <c r="B94" i="10"/>
  <c r="D94" i="10" s="1"/>
  <c r="B95" i="10"/>
  <c r="B96" i="10"/>
  <c r="B97" i="10"/>
  <c r="B98" i="10"/>
  <c r="B99" i="10"/>
  <c r="B100" i="10"/>
  <c r="B101" i="10"/>
  <c r="B102" i="10"/>
  <c r="B103" i="10"/>
  <c r="B104" i="10"/>
  <c r="B105" i="10"/>
  <c r="B106" i="10"/>
  <c r="B107" i="10"/>
  <c r="B108" i="10"/>
  <c r="B109" i="10"/>
  <c r="B110" i="10"/>
  <c r="B111" i="10"/>
  <c r="B112" i="10"/>
  <c r="B113" i="10"/>
  <c r="B114" i="10"/>
  <c r="B115" i="10"/>
  <c r="B116" i="10"/>
  <c r="B117" i="10"/>
  <c r="B118" i="10"/>
  <c r="B119" i="10"/>
  <c r="B120" i="10"/>
  <c r="B121" i="10"/>
  <c r="B122" i="10"/>
  <c r="B123" i="10"/>
  <c r="B124" i="10"/>
  <c r="B125" i="10"/>
  <c r="D7" i="18"/>
  <c r="E2" i="17"/>
  <c r="G2" i="17" s="1"/>
  <c r="F5" i="17"/>
  <c r="E3" i="17"/>
  <c r="G3" i="17" s="1"/>
  <c r="D149" i="17"/>
  <c r="D157" i="17"/>
  <c r="I4" i="17"/>
  <c r="I3" i="17"/>
  <c r="I2" i="17"/>
  <c r="L3" i="10"/>
  <c r="L4" i="10"/>
  <c r="L2" i="10"/>
  <c r="G22" i="17"/>
  <c r="I22" i="17"/>
  <c r="K22" i="17"/>
  <c r="M22" i="17"/>
  <c r="G23" i="17"/>
  <c r="I23" i="17"/>
  <c r="K23" i="17"/>
  <c r="M23" i="17"/>
  <c r="G24" i="17"/>
  <c r="I24" i="17"/>
  <c r="K24" i="17"/>
  <c r="M24" i="17"/>
  <c r="G25" i="17"/>
  <c r="I25" i="17"/>
  <c r="K25" i="17"/>
  <c r="M25" i="17"/>
  <c r="G26" i="17"/>
  <c r="I26" i="17"/>
  <c r="K26" i="17"/>
  <c r="M26" i="17"/>
  <c r="G27" i="17"/>
  <c r="I27" i="17"/>
  <c r="K27" i="17"/>
  <c r="M27" i="17"/>
  <c r="G28" i="17"/>
  <c r="I28" i="17"/>
  <c r="K28" i="17"/>
  <c r="M28" i="17"/>
  <c r="G29" i="17"/>
  <c r="I29" i="17"/>
  <c r="K29" i="17"/>
  <c r="M29" i="17"/>
  <c r="G30" i="17"/>
  <c r="I30" i="17"/>
  <c r="K30" i="17"/>
  <c r="M30" i="17"/>
  <c r="G31" i="17"/>
  <c r="I31" i="17"/>
  <c r="K31" i="17"/>
  <c r="M31" i="17"/>
  <c r="G32" i="17"/>
  <c r="I32" i="17"/>
  <c r="K32" i="17"/>
  <c r="M32" i="17"/>
  <c r="G33" i="17"/>
  <c r="I33" i="17"/>
  <c r="K33" i="17"/>
  <c r="M33" i="17"/>
  <c r="G34" i="17"/>
  <c r="I34" i="17"/>
  <c r="K34" i="17"/>
  <c r="M34" i="17"/>
  <c r="G35" i="17"/>
  <c r="I35" i="17"/>
  <c r="K35" i="17"/>
  <c r="M35" i="17"/>
  <c r="G36" i="17"/>
  <c r="I36" i="17"/>
  <c r="K36" i="17"/>
  <c r="M36" i="17"/>
  <c r="G37" i="17"/>
  <c r="I37" i="17"/>
  <c r="K37" i="17"/>
  <c r="M37" i="17"/>
  <c r="G38" i="17"/>
  <c r="I38" i="17"/>
  <c r="K38" i="17"/>
  <c r="M38" i="17"/>
  <c r="G39" i="17"/>
  <c r="I39" i="17"/>
  <c r="K39" i="17"/>
  <c r="M39" i="17"/>
  <c r="G40" i="17"/>
  <c r="I40" i="17"/>
  <c r="K40" i="17"/>
  <c r="M40" i="17"/>
  <c r="G41" i="17"/>
  <c r="I41" i="17"/>
  <c r="K41" i="17"/>
  <c r="M41" i="17"/>
  <c r="G42" i="17"/>
  <c r="I42" i="17"/>
  <c r="K42" i="17"/>
  <c r="M42" i="17"/>
  <c r="G43" i="17"/>
  <c r="I43" i="17"/>
  <c r="K43" i="17"/>
  <c r="M43" i="17"/>
  <c r="G44" i="17"/>
  <c r="I44" i="17"/>
  <c r="K44" i="17"/>
  <c r="M44" i="17"/>
  <c r="G45" i="17"/>
  <c r="I45" i="17"/>
  <c r="K45" i="17"/>
  <c r="M45" i="17"/>
  <c r="G46" i="17"/>
  <c r="I46" i="17"/>
  <c r="K46" i="17"/>
  <c r="M46" i="17"/>
  <c r="G47" i="17"/>
  <c r="I47" i="17"/>
  <c r="K47" i="17"/>
  <c r="M47" i="17"/>
  <c r="G48" i="17"/>
  <c r="I48" i="17"/>
  <c r="K48" i="17"/>
  <c r="M48" i="17"/>
  <c r="G49" i="17"/>
  <c r="I49" i="17"/>
  <c r="K49" i="17"/>
  <c r="M49" i="17"/>
  <c r="G50" i="17"/>
  <c r="I50" i="17"/>
  <c r="K50" i="17"/>
  <c r="M50" i="17"/>
  <c r="G51" i="17"/>
  <c r="I51" i="17"/>
  <c r="K51" i="17"/>
  <c r="M51" i="17"/>
  <c r="G52" i="17"/>
  <c r="I52" i="17"/>
  <c r="K52" i="17"/>
  <c r="M52" i="17"/>
  <c r="G53" i="17"/>
  <c r="I53" i="17"/>
  <c r="K53" i="17"/>
  <c r="M53" i="17"/>
  <c r="G54" i="17"/>
  <c r="I54" i="17"/>
  <c r="K54" i="17"/>
  <c r="M54" i="17"/>
  <c r="G55" i="17"/>
  <c r="I55" i="17"/>
  <c r="K55" i="17"/>
  <c r="M55" i="17"/>
  <c r="G56" i="17"/>
  <c r="I56" i="17"/>
  <c r="K56" i="17"/>
  <c r="M56" i="17"/>
  <c r="G57" i="17"/>
  <c r="I57" i="17"/>
  <c r="K57" i="17"/>
  <c r="M57" i="17"/>
  <c r="G58" i="17"/>
  <c r="I58" i="17"/>
  <c r="K58" i="17"/>
  <c r="M58" i="17"/>
  <c r="G59" i="17"/>
  <c r="I59" i="17"/>
  <c r="K59" i="17"/>
  <c r="M59" i="17"/>
  <c r="G60" i="17"/>
  <c r="I60" i="17"/>
  <c r="K60" i="17"/>
  <c r="M60" i="17"/>
  <c r="G61" i="17"/>
  <c r="I61" i="17"/>
  <c r="K61" i="17"/>
  <c r="M61" i="17"/>
  <c r="G62" i="17"/>
  <c r="I62" i="17"/>
  <c r="K62" i="17"/>
  <c r="M62" i="17"/>
  <c r="G63" i="17"/>
  <c r="I63" i="17"/>
  <c r="K63" i="17"/>
  <c r="M63" i="17"/>
  <c r="G64" i="17"/>
  <c r="I64" i="17"/>
  <c r="K64" i="17"/>
  <c r="M64" i="17"/>
  <c r="G65" i="17"/>
  <c r="I65" i="17"/>
  <c r="K65" i="17"/>
  <c r="M65" i="17"/>
  <c r="G66" i="17"/>
  <c r="I66" i="17"/>
  <c r="K66" i="17"/>
  <c r="M66" i="17"/>
  <c r="G67" i="17"/>
  <c r="I67" i="17"/>
  <c r="K67" i="17"/>
  <c r="M67" i="17"/>
  <c r="G68" i="17"/>
  <c r="I68" i="17"/>
  <c r="K68" i="17"/>
  <c r="M68" i="17"/>
  <c r="G69" i="17"/>
  <c r="I69" i="17"/>
  <c r="K69" i="17"/>
  <c r="M69" i="17"/>
  <c r="G70" i="17"/>
  <c r="I70" i="17"/>
  <c r="K70" i="17"/>
  <c r="M70" i="17"/>
  <c r="G71" i="17"/>
  <c r="I71" i="17"/>
  <c r="K71" i="17"/>
  <c r="M71" i="17"/>
  <c r="G72" i="17"/>
  <c r="I72" i="17"/>
  <c r="K72" i="17"/>
  <c r="M72" i="17"/>
  <c r="G73" i="17"/>
  <c r="I73" i="17"/>
  <c r="K73" i="17"/>
  <c r="M73" i="17"/>
  <c r="G74" i="17"/>
  <c r="I74" i="17"/>
  <c r="K74" i="17"/>
  <c r="M74" i="17"/>
  <c r="G75" i="17"/>
  <c r="I75" i="17"/>
  <c r="K75" i="17"/>
  <c r="M75" i="17"/>
  <c r="G76" i="17"/>
  <c r="I76" i="17"/>
  <c r="K76" i="17"/>
  <c r="M76" i="17"/>
  <c r="G77" i="17"/>
  <c r="I77" i="17"/>
  <c r="K77" i="17"/>
  <c r="M77" i="17"/>
  <c r="G78" i="17"/>
  <c r="I78" i="17"/>
  <c r="K78" i="17"/>
  <c r="M78" i="17"/>
  <c r="G79" i="17"/>
  <c r="I79" i="17"/>
  <c r="K79" i="17"/>
  <c r="M79" i="17"/>
  <c r="G80" i="17"/>
  <c r="I80" i="17"/>
  <c r="K80" i="17"/>
  <c r="M80" i="17"/>
  <c r="G81" i="17"/>
  <c r="I81" i="17"/>
  <c r="K81" i="17"/>
  <c r="M81" i="17"/>
  <c r="G82" i="17"/>
  <c r="I82" i="17"/>
  <c r="K82" i="17"/>
  <c r="M82" i="17"/>
  <c r="G83" i="17"/>
  <c r="I83" i="17"/>
  <c r="K83" i="17"/>
  <c r="M83" i="17"/>
  <c r="G84" i="17"/>
  <c r="I84" i="17"/>
  <c r="K84" i="17"/>
  <c r="M84" i="17"/>
  <c r="G85" i="17"/>
  <c r="I85" i="17"/>
  <c r="K85" i="17"/>
  <c r="M85" i="17"/>
  <c r="G86" i="17"/>
  <c r="I86" i="17"/>
  <c r="K86" i="17"/>
  <c r="M86" i="17"/>
  <c r="G87" i="17"/>
  <c r="I87" i="17"/>
  <c r="K87" i="17"/>
  <c r="M87" i="17"/>
  <c r="G88" i="17"/>
  <c r="I88" i="17"/>
  <c r="K88" i="17"/>
  <c r="M88" i="17"/>
  <c r="G89" i="17"/>
  <c r="I89" i="17"/>
  <c r="K89" i="17"/>
  <c r="M89" i="17"/>
  <c r="G90" i="17"/>
  <c r="I90" i="17"/>
  <c r="K90" i="17"/>
  <c r="M90" i="17"/>
  <c r="G91" i="17"/>
  <c r="I91" i="17"/>
  <c r="K91" i="17"/>
  <c r="M91" i="17"/>
  <c r="G92" i="17"/>
  <c r="I92" i="17"/>
  <c r="K92" i="17"/>
  <c r="M92" i="17"/>
  <c r="G93" i="17"/>
  <c r="I93" i="17"/>
  <c r="K93" i="17"/>
  <c r="M93" i="17"/>
  <c r="G94" i="17"/>
  <c r="I94" i="17"/>
  <c r="K94" i="17"/>
  <c r="M94" i="17"/>
  <c r="G95" i="17"/>
  <c r="I95" i="17"/>
  <c r="K95" i="17"/>
  <c r="M95" i="17"/>
  <c r="G96" i="17"/>
  <c r="I96" i="17"/>
  <c r="K96" i="17"/>
  <c r="M96" i="17"/>
  <c r="G97" i="17"/>
  <c r="I97" i="17"/>
  <c r="K97" i="17"/>
  <c r="M97" i="17"/>
  <c r="G98" i="17"/>
  <c r="I98" i="17"/>
  <c r="K98" i="17"/>
  <c r="M98" i="17"/>
  <c r="G99" i="17"/>
  <c r="I99" i="17"/>
  <c r="K99" i="17"/>
  <c r="M99" i="17"/>
  <c r="G100" i="17"/>
  <c r="I100" i="17"/>
  <c r="K100" i="17"/>
  <c r="M100" i="17"/>
  <c r="G101" i="17"/>
  <c r="I101" i="17"/>
  <c r="K101" i="17"/>
  <c r="M101" i="17"/>
  <c r="G102" i="17"/>
  <c r="I102" i="17"/>
  <c r="K102" i="17"/>
  <c r="M102" i="17"/>
  <c r="G103" i="17"/>
  <c r="I103" i="17"/>
  <c r="K103" i="17"/>
  <c r="M103" i="17"/>
  <c r="G104" i="17"/>
  <c r="I104" i="17"/>
  <c r="K104" i="17"/>
  <c r="M104" i="17"/>
  <c r="G105" i="17"/>
  <c r="I105" i="17"/>
  <c r="K105" i="17"/>
  <c r="M105" i="17"/>
  <c r="G106" i="17"/>
  <c r="I106" i="17"/>
  <c r="K106" i="17"/>
  <c r="M106" i="17"/>
  <c r="G107" i="17"/>
  <c r="I107" i="17"/>
  <c r="K107" i="17"/>
  <c r="M107" i="17"/>
  <c r="G108" i="17"/>
  <c r="I108" i="17"/>
  <c r="K108" i="17"/>
  <c r="M108" i="17"/>
  <c r="G109" i="17"/>
  <c r="I109" i="17"/>
  <c r="K109" i="17"/>
  <c r="M109" i="17"/>
  <c r="G110" i="17"/>
  <c r="I110" i="17"/>
  <c r="K110" i="17"/>
  <c r="M110" i="17"/>
  <c r="G111" i="17"/>
  <c r="I111" i="17"/>
  <c r="K111" i="17"/>
  <c r="M111" i="17"/>
  <c r="G112" i="17"/>
  <c r="I112" i="17"/>
  <c r="K112" i="17"/>
  <c r="M112" i="17"/>
  <c r="G113" i="17"/>
  <c r="I113" i="17"/>
  <c r="K113" i="17"/>
  <c r="M113" i="17"/>
  <c r="G114" i="17"/>
  <c r="I114" i="17"/>
  <c r="K114" i="17"/>
  <c r="M114" i="17"/>
  <c r="G115" i="17"/>
  <c r="I115" i="17"/>
  <c r="K115" i="17"/>
  <c r="M115" i="17"/>
  <c r="G116" i="17"/>
  <c r="I116" i="17"/>
  <c r="K116" i="17"/>
  <c r="M116" i="17"/>
  <c r="G117" i="17"/>
  <c r="I117" i="17"/>
  <c r="K117" i="17"/>
  <c r="M117" i="17"/>
  <c r="G118" i="17"/>
  <c r="I118" i="17"/>
  <c r="K118" i="17"/>
  <c r="M118" i="17"/>
  <c r="G119" i="17"/>
  <c r="I119" i="17"/>
  <c r="K119" i="17"/>
  <c r="M119" i="17"/>
  <c r="G120" i="17"/>
  <c r="I120" i="17"/>
  <c r="K120" i="17"/>
  <c r="M120" i="17"/>
  <c r="G121" i="17"/>
  <c r="I121" i="17"/>
  <c r="K121" i="17"/>
  <c r="M121" i="17"/>
  <c r="G122" i="17"/>
  <c r="I122" i="17"/>
  <c r="K122" i="17"/>
  <c r="M122" i="17"/>
  <c r="G123" i="17"/>
  <c r="I123" i="17"/>
  <c r="K123" i="17"/>
  <c r="M123" i="17"/>
  <c r="G124" i="17"/>
  <c r="I124" i="17"/>
  <c r="K124" i="17"/>
  <c r="M124" i="17"/>
  <c r="G125" i="17"/>
  <c r="I125" i="17"/>
  <c r="K125" i="17"/>
  <c r="M125" i="17"/>
  <c r="G126" i="17"/>
  <c r="I126" i="17"/>
  <c r="K126" i="17"/>
  <c r="M126" i="17"/>
  <c r="G127" i="17"/>
  <c r="I127" i="17"/>
  <c r="K127" i="17"/>
  <c r="M127" i="17"/>
  <c r="G128" i="17"/>
  <c r="I128" i="17"/>
  <c r="K128" i="17"/>
  <c r="M128" i="17"/>
  <c r="G129" i="17"/>
  <c r="I129" i="17"/>
  <c r="K129" i="17"/>
  <c r="M129" i="17"/>
  <c r="G130" i="17"/>
  <c r="I130" i="17"/>
  <c r="K130" i="17"/>
  <c r="M130" i="17"/>
  <c r="G131" i="17"/>
  <c r="I131" i="17"/>
  <c r="K131" i="17"/>
  <c r="M131" i="17"/>
  <c r="G132" i="17"/>
  <c r="I132" i="17"/>
  <c r="K132" i="17"/>
  <c r="M132" i="17"/>
  <c r="G133" i="17"/>
  <c r="I133" i="17"/>
  <c r="K133" i="17"/>
  <c r="M133" i="17"/>
  <c r="G134" i="17"/>
  <c r="I134" i="17"/>
  <c r="K134" i="17"/>
  <c r="M134" i="17"/>
  <c r="G135" i="17"/>
  <c r="I135" i="17"/>
  <c r="K135" i="17"/>
  <c r="M135" i="17"/>
  <c r="M21" i="17"/>
  <c r="K21" i="17"/>
  <c r="I21" i="17"/>
  <c r="G21" i="17"/>
  <c r="C21" i="17"/>
  <c r="C22" i="17"/>
  <c r="C23" i="17"/>
  <c r="C24" i="17"/>
  <c r="C25" i="17"/>
  <c r="C26" i="17"/>
  <c r="C27" i="17"/>
  <c r="C28" i="17"/>
  <c r="C29" i="17"/>
  <c r="C30" i="17"/>
  <c r="C31" i="17"/>
  <c r="C32" i="17"/>
  <c r="C33" i="17"/>
  <c r="C34" i="17"/>
  <c r="C35" i="17"/>
  <c r="C36" i="17"/>
  <c r="C37" i="17"/>
  <c r="C38" i="17"/>
  <c r="C39" i="17"/>
  <c r="C40" i="17"/>
  <c r="C41" i="17"/>
  <c r="C42" i="17"/>
  <c r="C43" i="17"/>
  <c r="C44" i="17"/>
  <c r="C45" i="17"/>
  <c r="C46" i="17"/>
  <c r="C47" i="17"/>
  <c r="C48" i="17"/>
  <c r="C49" i="17"/>
  <c r="C50" i="17"/>
  <c r="C51" i="17"/>
  <c r="C52" i="17"/>
  <c r="C53" i="17"/>
  <c r="C54" i="17"/>
  <c r="C55" i="17"/>
  <c r="C56" i="17"/>
  <c r="C57" i="17"/>
  <c r="C58" i="17"/>
  <c r="C59" i="17"/>
  <c r="C60" i="17"/>
  <c r="C61" i="17"/>
  <c r="C62" i="17"/>
  <c r="C63" i="17"/>
  <c r="C64" i="17"/>
  <c r="C65" i="17"/>
  <c r="C66" i="17"/>
  <c r="C67" i="17"/>
  <c r="C68" i="17"/>
  <c r="C69" i="17"/>
  <c r="C70" i="17"/>
  <c r="C71" i="17"/>
  <c r="C72" i="17"/>
  <c r="C73" i="17"/>
  <c r="C74" i="17"/>
  <c r="C75" i="17"/>
  <c r="C76" i="17"/>
  <c r="C77" i="17"/>
  <c r="C78" i="17"/>
  <c r="C79" i="17"/>
  <c r="C80" i="17"/>
  <c r="C81" i="17"/>
  <c r="C82" i="17"/>
  <c r="C83" i="17"/>
  <c r="C84" i="17"/>
  <c r="C85" i="17"/>
  <c r="C86" i="17"/>
  <c r="C87" i="17"/>
  <c r="C88" i="17"/>
  <c r="C89" i="17"/>
  <c r="C90" i="17"/>
  <c r="C91" i="17"/>
  <c r="C92" i="17"/>
  <c r="C93" i="17"/>
  <c r="C94" i="17"/>
  <c r="C95" i="17"/>
  <c r="C96" i="17"/>
  <c r="C97" i="17"/>
  <c r="C98" i="17"/>
  <c r="C99" i="17"/>
  <c r="C100" i="17"/>
  <c r="C101" i="17"/>
  <c r="C102" i="17"/>
  <c r="C103" i="17"/>
  <c r="C104" i="17"/>
  <c r="C105" i="17"/>
  <c r="C106" i="17"/>
  <c r="C107" i="17"/>
  <c r="C108" i="17"/>
  <c r="C109" i="17"/>
  <c r="C110" i="17"/>
  <c r="C111" i="17"/>
  <c r="C112" i="17"/>
  <c r="C113" i="17"/>
  <c r="C114" i="17"/>
  <c r="C115" i="17"/>
  <c r="C116" i="17"/>
  <c r="C117" i="17"/>
  <c r="C118" i="17"/>
  <c r="C119" i="17"/>
  <c r="C120" i="17"/>
  <c r="C121" i="17"/>
  <c r="C122" i="17"/>
  <c r="C123" i="17"/>
  <c r="C124" i="17"/>
  <c r="C125" i="17"/>
  <c r="C126" i="17"/>
  <c r="C127" i="17"/>
  <c r="C128" i="17"/>
  <c r="C129" i="17"/>
  <c r="C130" i="17"/>
  <c r="C131" i="17"/>
  <c r="C132" i="17"/>
  <c r="C133" i="17"/>
  <c r="C134" i="17"/>
  <c r="C135" i="17"/>
  <c r="N387" i="17"/>
  <c r="N386" i="17"/>
  <c r="N385" i="17"/>
  <c r="N384" i="17"/>
  <c r="M382" i="17"/>
  <c r="L382" i="17"/>
  <c r="V384" i="17" s="1"/>
  <c r="N383" i="17"/>
  <c r="M381" i="17"/>
  <c r="L381" i="17"/>
  <c r="Z381" i="17" s="1"/>
  <c r="N382" i="17"/>
  <c r="M380" i="17"/>
  <c r="L380" i="17"/>
  <c r="W382" i="17" s="1"/>
  <c r="N381" i="17"/>
  <c r="M379" i="17"/>
  <c r="L379" i="17"/>
  <c r="AA379" i="17" s="1"/>
  <c r="N380" i="17"/>
  <c r="M378" i="17"/>
  <c r="L378" i="17"/>
  <c r="X378" i="17" s="1"/>
  <c r="N379" i="17"/>
  <c r="M377" i="17"/>
  <c r="L377" i="17"/>
  <c r="AA377" i="17" s="1"/>
  <c r="N378" i="17"/>
  <c r="M376" i="17"/>
  <c r="L376" i="17"/>
  <c r="N377" i="17"/>
  <c r="M375" i="17"/>
  <c r="L375" i="17"/>
  <c r="N376" i="17"/>
  <c r="M374" i="17"/>
  <c r="L374" i="17"/>
  <c r="X374" i="17" s="1"/>
  <c r="N375" i="17"/>
  <c r="M373" i="17"/>
  <c r="L373" i="17"/>
  <c r="AA373" i="17" s="1"/>
  <c r="N374" i="17"/>
  <c r="M372" i="17"/>
  <c r="L372" i="17"/>
  <c r="X372" i="17" s="1"/>
  <c r="N373" i="17"/>
  <c r="M371" i="17"/>
  <c r="L371" i="17"/>
  <c r="N372" i="17"/>
  <c r="M370" i="17"/>
  <c r="L370" i="17"/>
  <c r="X370" i="17" s="1"/>
  <c r="N371" i="17"/>
  <c r="M369" i="17"/>
  <c r="L369" i="17"/>
  <c r="Y369" i="17" s="1"/>
  <c r="N370" i="17"/>
  <c r="M368" i="17"/>
  <c r="L368" i="17"/>
  <c r="T368" i="17" s="1"/>
  <c r="U370" i="17" s="1"/>
  <c r="N369" i="17"/>
  <c r="M367" i="17"/>
  <c r="L367" i="17"/>
  <c r="X367" i="17" s="1"/>
  <c r="N368" i="17"/>
  <c r="M366" i="17"/>
  <c r="L366" i="17"/>
  <c r="Z366" i="17" s="1"/>
  <c r="N367" i="17"/>
  <c r="M365" i="17"/>
  <c r="L365" i="17"/>
  <c r="N366" i="17"/>
  <c r="M364" i="17"/>
  <c r="L364" i="17"/>
  <c r="X364" i="17" s="1"/>
  <c r="N365" i="17"/>
  <c r="M363" i="17"/>
  <c r="L363" i="17"/>
  <c r="W365" i="17" s="1"/>
  <c r="N364" i="17"/>
  <c r="M362" i="17"/>
  <c r="L362" i="17"/>
  <c r="Y362" i="17" s="1"/>
  <c r="N363" i="17"/>
  <c r="M361" i="17"/>
  <c r="L361" i="17"/>
  <c r="W363" i="17" s="1"/>
  <c r="N362" i="17"/>
  <c r="M360" i="17"/>
  <c r="L360" i="17"/>
  <c r="X360" i="17" s="1"/>
  <c r="N361" i="17"/>
  <c r="M359" i="17"/>
  <c r="L359" i="17"/>
  <c r="Y359" i="17" s="1"/>
  <c r="N360" i="17"/>
  <c r="M358" i="17"/>
  <c r="L358" i="17"/>
  <c r="Y358" i="17" s="1"/>
  <c r="N359" i="17"/>
  <c r="M357" i="17"/>
  <c r="L357" i="17"/>
  <c r="W359" i="17" s="1"/>
  <c r="N358" i="17"/>
  <c r="M356" i="17"/>
  <c r="L356" i="17"/>
  <c r="W358" i="17" s="1"/>
  <c r="N357" i="17"/>
  <c r="M355" i="17"/>
  <c r="L355" i="17"/>
  <c r="Y355" i="17" s="1"/>
  <c r="N356" i="17"/>
  <c r="M354" i="17"/>
  <c r="L354" i="17"/>
  <c r="W356" i="17" s="1"/>
  <c r="N355" i="17"/>
  <c r="M353" i="17"/>
  <c r="L353" i="17"/>
  <c r="W355" i="17" s="1"/>
  <c r="N354" i="17"/>
  <c r="M352" i="17"/>
  <c r="L352" i="17"/>
  <c r="Z352" i="17" s="1"/>
  <c r="N353" i="17"/>
  <c r="M351" i="17"/>
  <c r="L351" i="17"/>
  <c r="W353" i="17" s="1"/>
  <c r="N352" i="17"/>
  <c r="M350" i="17"/>
  <c r="L350" i="17"/>
  <c r="Z350" i="17" s="1"/>
  <c r="N351" i="17"/>
  <c r="M349" i="17"/>
  <c r="L349" i="17"/>
  <c r="W351" i="17" s="1"/>
  <c r="N350" i="17"/>
  <c r="M348" i="17"/>
  <c r="L348" i="17"/>
  <c r="X348" i="17" s="1"/>
  <c r="N349" i="17"/>
  <c r="M347" i="17"/>
  <c r="L347" i="17"/>
  <c r="W349" i="17" s="1"/>
  <c r="N348" i="17"/>
  <c r="M346" i="17"/>
  <c r="L346" i="17"/>
  <c r="Y346" i="17" s="1"/>
  <c r="N347" i="17"/>
  <c r="M345" i="17"/>
  <c r="L345" i="17"/>
  <c r="W347" i="17" s="1"/>
  <c r="N346" i="17"/>
  <c r="M344" i="17"/>
  <c r="L344" i="17"/>
  <c r="X344" i="17" s="1"/>
  <c r="N345" i="17"/>
  <c r="M343" i="17"/>
  <c r="L343" i="17"/>
  <c r="Y343" i="17" s="1"/>
  <c r="N344" i="17"/>
  <c r="M342" i="17"/>
  <c r="L342" i="17"/>
  <c r="N343" i="17"/>
  <c r="M341" i="17"/>
  <c r="L341" i="17"/>
  <c r="W343" i="17" s="1"/>
  <c r="N342" i="17"/>
  <c r="M340" i="17"/>
  <c r="L340" i="17"/>
  <c r="W342" i="17" s="1"/>
  <c r="N341" i="17"/>
  <c r="M339" i="17"/>
  <c r="L339" i="17"/>
  <c r="N340" i="17"/>
  <c r="M338" i="17"/>
  <c r="L338" i="17"/>
  <c r="W340" i="17" s="1"/>
  <c r="N339" i="17"/>
  <c r="M337" i="17"/>
  <c r="L337" i="17"/>
  <c r="W339" i="17" s="1"/>
  <c r="N338" i="17"/>
  <c r="M336" i="17"/>
  <c r="L336" i="17"/>
  <c r="X336" i="17" s="1"/>
  <c r="N337" i="17"/>
  <c r="M335" i="17"/>
  <c r="L335" i="17"/>
  <c r="W337" i="17" s="1"/>
  <c r="N336" i="17"/>
  <c r="M334" i="17"/>
  <c r="L334" i="17"/>
  <c r="V336" i="17" s="1"/>
  <c r="N335" i="17"/>
  <c r="M333" i="17"/>
  <c r="L333" i="17"/>
  <c r="W335" i="17" s="1"/>
  <c r="N334" i="17"/>
  <c r="M332" i="17"/>
  <c r="L332" i="17"/>
  <c r="X332" i="17" s="1"/>
  <c r="N333" i="17"/>
  <c r="M331" i="17"/>
  <c r="L331" i="17"/>
  <c r="W333" i="17" s="1"/>
  <c r="N332" i="17"/>
  <c r="M330" i="17"/>
  <c r="L330" i="17"/>
  <c r="Y330" i="17" s="1"/>
  <c r="N331" i="17"/>
  <c r="M329" i="17"/>
  <c r="L329" i="17"/>
  <c r="W331" i="17" s="1"/>
  <c r="N330" i="17"/>
  <c r="M328" i="17"/>
  <c r="L328" i="17"/>
  <c r="X328" i="17" s="1"/>
  <c r="N329" i="17"/>
  <c r="M327" i="17"/>
  <c r="L327" i="17"/>
  <c r="Y327" i="17" s="1"/>
  <c r="N328" i="17"/>
  <c r="M326" i="17"/>
  <c r="L326" i="17"/>
  <c r="AA326" i="17" s="1"/>
  <c r="N327" i="17"/>
  <c r="M325" i="17"/>
  <c r="L325" i="17"/>
  <c r="T325" i="17" s="1"/>
  <c r="U327" i="17" s="1"/>
  <c r="N326" i="17"/>
  <c r="M324" i="17"/>
  <c r="L324" i="17"/>
  <c r="X324" i="17" s="1"/>
  <c r="N325" i="17"/>
  <c r="M323" i="17"/>
  <c r="L323" i="17"/>
  <c r="T323" i="17" s="1"/>
  <c r="U325" i="17" s="1"/>
  <c r="N324" i="17"/>
  <c r="M322" i="17"/>
  <c r="L322" i="17"/>
  <c r="X322" i="17" s="1"/>
  <c r="N323" i="17"/>
  <c r="M321" i="17"/>
  <c r="L321" i="17"/>
  <c r="X321" i="17" s="1"/>
  <c r="N322" i="17"/>
  <c r="M320" i="17"/>
  <c r="L320" i="17"/>
  <c r="X320" i="17" s="1"/>
  <c r="N321" i="17"/>
  <c r="M319" i="17"/>
  <c r="L319" i="17"/>
  <c r="K318" i="17"/>
  <c r="N320" i="17" s="1"/>
  <c r="Q319" i="17"/>
  <c r="N319" i="17"/>
  <c r="N318" i="17"/>
  <c r="N317" i="17"/>
  <c r="R314" i="17"/>
  <c r="Q316" i="17"/>
  <c r="K314" i="17"/>
  <c r="N316" i="17" s="1"/>
  <c r="R313" i="17"/>
  <c r="Q315" i="17"/>
  <c r="K313" i="17"/>
  <c r="N315" i="17" s="1"/>
  <c r="N314" i="17"/>
  <c r="N313" i="17"/>
  <c r="K310" i="17"/>
  <c r="L310" i="17" s="1"/>
  <c r="K309" i="17"/>
  <c r="N311" i="17" s="1"/>
  <c r="K308" i="17"/>
  <c r="O310" i="17" s="1"/>
  <c r="K307" i="17"/>
  <c r="N309" i="17" s="1"/>
  <c r="K306" i="17"/>
  <c r="L306" i="17" s="1"/>
  <c r="K305" i="17"/>
  <c r="K304" i="17"/>
  <c r="M304" i="17" s="1"/>
  <c r="K303" i="17"/>
  <c r="L303" i="17" s="1"/>
  <c r="K302" i="17"/>
  <c r="L302" i="17" s="1"/>
  <c r="K301" i="17"/>
  <c r="N303" i="17" s="1"/>
  <c r="K300" i="17"/>
  <c r="O302" i="17" s="1"/>
  <c r="K299" i="17"/>
  <c r="N301" i="17" s="1"/>
  <c r="K298" i="17"/>
  <c r="N300" i="17" s="1"/>
  <c r="K297" i="17"/>
  <c r="M297" i="17" s="1"/>
  <c r="K296" i="17"/>
  <c r="M296" i="17" s="1"/>
  <c r="K295" i="17"/>
  <c r="L295" i="17" s="1"/>
  <c r="K294" i="17"/>
  <c r="L294" i="17" s="1"/>
  <c r="K293" i="17"/>
  <c r="N295" i="17" s="1"/>
  <c r="K292" i="17"/>
  <c r="O294" i="17" s="1"/>
  <c r="K291" i="17"/>
  <c r="N293" i="17" s="1"/>
  <c r="K290" i="17"/>
  <c r="L290" i="17" s="1"/>
  <c r="K289" i="17"/>
  <c r="M289" i="17" s="1"/>
  <c r="K288" i="17"/>
  <c r="M288" i="17" s="1"/>
  <c r="K287" i="17"/>
  <c r="N289" i="17" s="1"/>
  <c r="K286" i="17"/>
  <c r="N288" i="17" s="1"/>
  <c r="K285" i="17"/>
  <c r="N287" i="17" s="1"/>
  <c r="K284" i="17"/>
  <c r="O286" i="17" s="1"/>
  <c r="K283" i="17"/>
  <c r="N285" i="17" s="1"/>
  <c r="K282" i="17"/>
  <c r="N284" i="17" s="1"/>
  <c r="K281" i="17"/>
  <c r="M281" i="17" s="1"/>
  <c r="K280" i="17"/>
  <c r="M280" i="17" s="1"/>
  <c r="K279" i="17"/>
  <c r="O281" i="17" s="1"/>
  <c r="K278" i="17"/>
  <c r="N280" i="17" s="1"/>
  <c r="K277" i="17"/>
  <c r="L277" i="17" s="1"/>
  <c r="K276" i="17"/>
  <c r="N278" i="17" s="1"/>
  <c r="K275" i="17"/>
  <c r="N277" i="17" s="1"/>
  <c r="K274" i="17"/>
  <c r="N276" i="17" s="1"/>
  <c r="K273" i="17"/>
  <c r="M273" i="17" s="1"/>
  <c r="K272" i="17"/>
  <c r="M272" i="17" s="1"/>
  <c r="K271" i="17"/>
  <c r="O273" i="17" s="1"/>
  <c r="K270" i="17"/>
  <c r="N272" i="17" s="1"/>
  <c r="K269" i="17"/>
  <c r="L269" i="17" s="1"/>
  <c r="K268" i="17"/>
  <c r="N270" i="17" s="1"/>
  <c r="K267" i="17"/>
  <c r="N269" i="17" s="1"/>
  <c r="K266" i="17"/>
  <c r="L266" i="17" s="1"/>
  <c r="K265" i="17"/>
  <c r="N267" i="17" s="1"/>
  <c r="K264" i="17"/>
  <c r="M264" i="17" s="1"/>
  <c r="K263" i="17"/>
  <c r="O265" i="17" s="1"/>
  <c r="K262" i="17"/>
  <c r="O264" i="17" s="1"/>
  <c r="K261" i="17"/>
  <c r="L261" i="17" s="1"/>
  <c r="K260" i="17"/>
  <c r="O262" i="17" s="1"/>
  <c r="K259" i="17"/>
  <c r="N261" i="17" s="1"/>
  <c r="K258" i="17"/>
  <c r="N260" i="17" s="1"/>
  <c r="K257" i="17"/>
  <c r="N259" i="17" s="1"/>
  <c r="K256" i="17"/>
  <c r="M256" i="17" s="1"/>
  <c r="K255" i="17"/>
  <c r="O257" i="17" s="1"/>
  <c r="K254" i="17"/>
  <c r="O256" i="17" s="1"/>
  <c r="K253" i="17"/>
  <c r="L253" i="17" s="1"/>
  <c r="K252" i="17"/>
  <c r="O254" i="17" s="1"/>
  <c r="K251" i="17"/>
  <c r="N253" i="17" s="1"/>
  <c r="K250" i="17"/>
  <c r="N252" i="17" s="1"/>
  <c r="K249" i="17"/>
  <c r="N251" i="17" s="1"/>
  <c r="K248" i="17"/>
  <c r="M248" i="17" s="1"/>
  <c r="K247" i="17"/>
  <c r="O249" i="17" s="1"/>
  <c r="K246" i="17"/>
  <c r="O248" i="17" s="1"/>
  <c r="K245" i="17"/>
  <c r="L245" i="17" s="1"/>
  <c r="K244" i="17"/>
  <c r="O246" i="17" s="1"/>
  <c r="K243" i="17"/>
  <c r="N245" i="17" s="1"/>
  <c r="K242" i="17"/>
  <c r="N244" i="17" s="1"/>
  <c r="K241" i="17"/>
  <c r="N243" i="17" s="1"/>
  <c r="K240" i="17"/>
  <c r="M240" i="17" s="1"/>
  <c r="K239" i="17"/>
  <c r="O241" i="17" s="1"/>
  <c r="K238" i="17"/>
  <c r="O240" i="17" s="1"/>
  <c r="K237" i="17"/>
  <c r="L237" i="17" s="1"/>
  <c r="K236" i="17"/>
  <c r="O238" i="17" s="1"/>
  <c r="K235" i="17"/>
  <c r="N237" i="17" s="1"/>
  <c r="K234" i="17"/>
  <c r="N236" i="17" s="1"/>
  <c r="K233" i="17"/>
  <c r="N235" i="17" s="1"/>
  <c r="K232" i="17"/>
  <c r="M232" i="17" s="1"/>
  <c r="K231" i="17"/>
  <c r="O233" i="17" s="1"/>
  <c r="K230" i="17"/>
  <c r="O232" i="17" s="1"/>
  <c r="K229" i="17"/>
  <c r="L229" i="17" s="1"/>
  <c r="K228" i="17"/>
  <c r="O230" i="17" s="1"/>
  <c r="K227" i="17"/>
  <c r="N229" i="17" s="1"/>
  <c r="K226" i="17"/>
  <c r="N228" i="17" s="1"/>
  <c r="K225" i="17"/>
  <c r="N227" i="17" s="1"/>
  <c r="K224" i="17"/>
  <c r="M224" i="17" s="1"/>
  <c r="K223" i="17"/>
  <c r="O225" i="17" s="1"/>
  <c r="K222" i="17"/>
  <c r="O224" i="17" s="1"/>
  <c r="K221" i="17"/>
  <c r="L221" i="17" s="1"/>
  <c r="K220" i="17"/>
  <c r="O222" i="17" s="1"/>
  <c r="K219" i="17"/>
  <c r="N221" i="17" s="1"/>
  <c r="K218" i="17"/>
  <c r="N220" i="17" s="1"/>
  <c r="K217" i="17"/>
  <c r="N219" i="17" s="1"/>
  <c r="K216" i="17"/>
  <c r="N218" i="17" s="1"/>
  <c r="K215" i="17"/>
  <c r="O217" i="17" s="1"/>
  <c r="K214" i="17"/>
  <c r="O216" i="17" s="1"/>
  <c r="K213" i="17"/>
  <c r="L213" i="17" s="1"/>
  <c r="K212" i="17"/>
  <c r="O214" i="17" s="1"/>
  <c r="K211" i="17"/>
  <c r="N213" i="17" s="1"/>
  <c r="K210" i="17"/>
  <c r="N212" i="17" s="1"/>
  <c r="K209" i="17"/>
  <c r="N211" i="17" s="1"/>
  <c r="K208" i="17"/>
  <c r="N210" i="17" s="1"/>
  <c r="K207" i="17"/>
  <c r="O209" i="17" s="1"/>
  <c r="K206" i="17"/>
  <c r="O208" i="17" s="1"/>
  <c r="K205" i="17"/>
  <c r="O207" i="17" s="1"/>
  <c r="K204" i="17"/>
  <c r="M204" i="17" s="1"/>
  <c r="K203" i="17"/>
  <c r="N205" i="17" s="1"/>
  <c r="K202" i="17"/>
  <c r="N204" i="17" s="1"/>
  <c r="K201" i="17"/>
  <c r="N203" i="17" s="1"/>
  <c r="K200" i="17"/>
  <c r="N202" i="17" s="1"/>
  <c r="K199" i="17"/>
  <c r="O201" i="17" s="1"/>
  <c r="K198" i="17"/>
  <c r="O200" i="17" s="1"/>
  <c r="K197" i="17"/>
  <c r="O199" i="17" s="1"/>
  <c r="K196" i="17"/>
  <c r="M196" i="17" s="1"/>
  <c r="K195" i="17"/>
  <c r="N197" i="17" s="1"/>
  <c r="K194" i="17"/>
  <c r="N196" i="17" s="1"/>
  <c r="K193" i="17"/>
  <c r="N195" i="17" s="1"/>
  <c r="K192" i="17"/>
  <c r="N194" i="17" s="1"/>
  <c r="K191" i="17"/>
  <c r="O193" i="17" s="1"/>
  <c r="K190" i="17"/>
  <c r="O192" i="17" s="1"/>
  <c r="K189" i="17"/>
  <c r="O191" i="17" s="1"/>
  <c r="K188" i="17"/>
  <c r="M188" i="17" s="1"/>
  <c r="K187" i="17"/>
  <c r="N189" i="17" s="1"/>
  <c r="K186" i="17"/>
  <c r="N188" i="17" s="1"/>
  <c r="K185" i="17"/>
  <c r="N187" i="17" s="1"/>
  <c r="K184" i="17"/>
  <c r="N186" i="17" s="1"/>
  <c r="K183" i="17"/>
  <c r="O185" i="17" s="1"/>
  <c r="K182" i="17"/>
  <c r="O184" i="17" s="1"/>
  <c r="K181" i="17"/>
  <c r="O183" i="17" s="1"/>
  <c r="K180" i="17"/>
  <c r="M180" i="17" s="1"/>
  <c r="K179" i="17"/>
  <c r="N181" i="17" s="1"/>
  <c r="K178" i="17"/>
  <c r="N180" i="17" s="1"/>
  <c r="K177" i="17"/>
  <c r="N179" i="17" s="1"/>
  <c r="K176" i="17"/>
  <c r="N178" i="17" s="1"/>
  <c r="K175" i="17"/>
  <c r="O177" i="17" s="1"/>
  <c r="K174" i="17"/>
  <c r="O176" i="17" s="1"/>
  <c r="K173" i="17"/>
  <c r="O175" i="17" s="1"/>
  <c r="K172" i="17"/>
  <c r="O174" i="17" s="1"/>
  <c r="K171" i="17"/>
  <c r="N173" i="17" s="1"/>
  <c r="K170" i="17"/>
  <c r="N172" i="17" s="1"/>
  <c r="K169" i="17"/>
  <c r="N171" i="17" s="1"/>
  <c r="K168" i="17"/>
  <c r="N170" i="17" s="1"/>
  <c r="K167" i="17"/>
  <c r="O169" i="17" s="1"/>
  <c r="K166" i="17"/>
  <c r="O168" i="17" s="1"/>
  <c r="D190" i="10"/>
  <c r="D155" i="17" s="1"/>
  <c r="D191" i="10"/>
  <c r="D156" i="17" s="1"/>
  <c r="D192" i="10"/>
  <c r="D193" i="10"/>
  <c r="D158" i="17" s="1"/>
  <c r="D194" i="10"/>
  <c r="D159" i="17" s="1"/>
  <c r="D195" i="10"/>
  <c r="D160" i="17" s="1"/>
  <c r="D196" i="10"/>
  <c r="D161" i="17" s="1"/>
  <c r="D189" i="10"/>
  <c r="D198" i="10" s="1"/>
  <c r="D181" i="10"/>
  <c r="D146" i="17" s="1"/>
  <c r="D182" i="10"/>
  <c r="D147" i="17" s="1"/>
  <c r="D183" i="10"/>
  <c r="D148" i="17" s="1"/>
  <c r="D184" i="10"/>
  <c r="D185" i="10"/>
  <c r="D150" i="17" s="1"/>
  <c r="D186" i="10"/>
  <c r="D151" i="17" s="1"/>
  <c r="D187" i="10"/>
  <c r="D152" i="17" s="1"/>
  <c r="D188" i="10"/>
  <c r="D153" i="17" s="1"/>
  <c r="D180" i="10"/>
  <c r="D145" i="17" s="1"/>
  <c r="D177" i="10"/>
  <c r="D142" i="17" s="1"/>
  <c r="D178" i="10"/>
  <c r="D143" i="17" s="1"/>
  <c r="D179" i="10"/>
  <c r="D144" i="17" s="1"/>
  <c r="D176" i="10"/>
  <c r="D141" i="17" s="1"/>
  <c r="AD11" i="18" l="1"/>
  <c r="AF8" i="18"/>
  <c r="A6" i="18"/>
  <c r="F6" i="18" s="1"/>
  <c r="O5" i="10"/>
  <c r="E198" i="10"/>
  <c r="F198" i="10"/>
  <c r="D154" i="17"/>
  <c r="D163" i="17" s="1"/>
  <c r="S314" i="17"/>
  <c r="U316" i="17" s="1"/>
  <c r="N268" i="17"/>
  <c r="AA324" i="17"/>
  <c r="O268" i="17"/>
  <c r="V346" i="17"/>
  <c r="M212" i="17"/>
  <c r="O228" i="17"/>
  <c r="O242" i="17"/>
  <c r="O301" i="17"/>
  <c r="S313" i="17"/>
  <c r="U315" i="17" s="1"/>
  <c r="X335" i="17"/>
  <c r="V335" i="17"/>
  <c r="Z348" i="17"/>
  <c r="N255" i="17"/>
  <c r="M226" i="17"/>
  <c r="N242" i="17"/>
  <c r="O285" i="17"/>
  <c r="T326" i="17"/>
  <c r="U328" i="17" s="1"/>
  <c r="F163" i="17"/>
  <c r="E163" i="17"/>
  <c r="N215" i="17"/>
  <c r="O196" i="17"/>
  <c r="N223" i="17"/>
  <c r="L282" i="17"/>
  <c r="M294" i="17"/>
  <c r="O309" i="17"/>
  <c r="AA335" i="17"/>
  <c r="Z351" i="17"/>
  <c r="AA355" i="17"/>
  <c r="W362" i="17"/>
  <c r="T334" i="17"/>
  <c r="U336" i="17" s="1"/>
  <c r="V349" i="17"/>
  <c r="AA351" i="17"/>
  <c r="O204" i="17"/>
  <c r="W336" i="17"/>
  <c r="Z345" i="17"/>
  <c r="O172" i="17"/>
  <c r="L307" i="17"/>
  <c r="L291" i="17"/>
  <c r="W325" i="17"/>
  <c r="X334" i="17"/>
  <c r="V356" i="17"/>
  <c r="X363" i="17"/>
  <c r="W370" i="17"/>
  <c r="O202" i="17"/>
  <c r="O170" i="17"/>
  <c r="M244" i="17"/>
  <c r="M258" i="17"/>
  <c r="O293" i="17"/>
  <c r="M310" i="17"/>
  <c r="T333" i="17"/>
  <c r="U335" i="17" s="1"/>
  <c r="Z336" i="17"/>
  <c r="X354" i="17"/>
  <c r="O260" i="17"/>
  <c r="N312" i="17"/>
  <c r="T344" i="17"/>
  <c r="U346" i="17" s="1"/>
  <c r="T348" i="17"/>
  <c r="U350" i="17" s="1"/>
  <c r="O178" i="17"/>
  <c r="L208" i="17"/>
  <c r="M218" i="17"/>
  <c r="N234" i="17"/>
  <c r="M236" i="17"/>
  <c r="N247" i="17"/>
  <c r="M250" i="17"/>
  <c r="N266" i="17"/>
  <c r="L272" i="17"/>
  <c r="N279" i="17"/>
  <c r="N290" i="17"/>
  <c r="M291" i="17"/>
  <c r="L304" i="17"/>
  <c r="M307" i="17"/>
  <c r="Y326" i="17"/>
  <c r="Z335" i="17"/>
  <c r="V362" i="17"/>
  <c r="X368" i="17"/>
  <c r="O234" i="17"/>
  <c r="N226" i="17"/>
  <c r="M228" i="17"/>
  <c r="N239" i="17"/>
  <c r="M242" i="17"/>
  <c r="N258" i="17"/>
  <c r="M260" i="17"/>
  <c r="L268" i="17"/>
  <c r="M301" i="17"/>
  <c r="W323" i="17"/>
  <c r="O331" i="17"/>
  <c r="V333" i="17"/>
  <c r="T364" i="17"/>
  <c r="U366" i="17" s="1"/>
  <c r="Y373" i="17"/>
  <c r="O266" i="17"/>
  <c r="O180" i="17"/>
  <c r="O226" i="17"/>
  <c r="O244" i="17"/>
  <c r="O258" i="17"/>
  <c r="O267" i="17"/>
  <c r="L274" i="17"/>
  <c r="M290" i="17"/>
  <c r="L297" i="17"/>
  <c r="N307" i="17"/>
  <c r="T329" i="17"/>
  <c r="U331" i="17" s="1"/>
  <c r="AA333" i="17"/>
  <c r="O210" i="17"/>
  <c r="O186" i="17"/>
  <c r="O194" i="17"/>
  <c r="O212" i="17"/>
  <c r="M220" i="17"/>
  <c r="N231" i="17"/>
  <c r="M234" i="17"/>
  <c r="N250" i="17"/>
  <c r="M252" i="17"/>
  <c r="N263" i="17"/>
  <c r="N271" i="17"/>
  <c r="N292" i="17"/>
  <c r="O307" i="17"/>
  <c r="M309" i="17"/>
  <c r="T320" i="17"/>
  <c r="U322" i="17" s="1"/>
  <c r="X340" i="17"/>
  <c r="T369" i="17"/>
  <c r="U371" i="17" s="1"/>
  <c r="O220" i="17"/>
  <c r="O252" i="17"/>
  <c r="O188" i="17"/>
  <c r="O218" i="17"/>
  <c r="O236" i="17"/>
  <c r="O250" i="17"/>
  <c r="M266" i="17"/>
  <c r="O277" i="17"/>
  <c r="L281" i="17"/>
  <c r="O292" i="17"/>
  <c r="L298" i="17"/>
  <c r="N304" i="17"/>
  <c r="Y320" i="17"/>
  <c r="O326" i="17"/>
  <c r="O337" i="17"/>
  <c r="W338" i="17"/>
  <c r="O349" i="17"/>
  <c r="O359" i="17"/>
  <c r="O363" i="17"/>
  <c r="V365" i="17"/>
  <c r="AA369" i="17"/>
  <c r="AA320" i="17"/>
  <c r="Y324" i="17"/>
  <c r="O328" i="17"/>
  <c r="T335" i="17"/>
  <c r="U337" i="17" s="1"/>
  <c r="T347" i="17"/>
  <c r="U349" i="17" s="1"/>
  <c r="V359" i="17"/>
  <c r="N169" i="17"/>
  <c r="M169" i="17"/>
  <c r="N177" i="17"/>
  <c r="M177" i="17"/>
  <c r="N185" i="17"/>
  <c r="M185" i="17"/>
  <c r="N193" i="17"/>
  <c r="M193" i="17"/>
  <c r="N201" i="17"/>
  <c r="M201" i="17"/>
  <c r="N209" i="17"/>
  <c r="M209" i="17"/>
  <c r="N217" i="17"/>
  <c r="M217" i="17"/>
  <c r="N225" i="17"/>
  <c r="M225" i="17"/>
  <c r="N233" i="17"/>
  <c r="M233" i="17"/>
  <c r="N241" i="17"/>
  <c r="M241" i="17"/>
  <c r="N249" i="17"/>
  <c r="M249" i="17"/>
  <c r="N257" i="17"/>
  <c r="M257" i="17"/>
  <c r="N265" i="17"/>
  <c r="M265" i="17"/>
  <c r="O276" i="17"/>
  <c r="O284" i="17"/>
  <c r="N291" i="17"/>
  <c r="O300" i="17"/>
  <c r="T322" i="17"/>
  <c r="U324" i="17" s="1"/>
  <c r="V330" i="17"/>
  <c r="T331" i="17"/>
  <c r="U333" i="17" s="1"/>
  <c r="T332" i="17"/>
  <c r="U334" i="17" s="1"/>
  <c r="Z333" i="17"/>
  <c r="T338" i="17"/>
  <c r="U340" i="17" s="1"/>
  <c r="O343" i="17"/>
  <c r="W348" i="17"/>
  <c r="Z347" i="17"/>
  <c r="T350" i="17"/>
  <c r="U352" i="17" s="1"/>
  <c r="V358" i="17"/>
  <c r="W368" i="17"/>
  <c r="W372" i="17"/>
  <c r="X380" i="17"/>
  <c r="O179" i="17"/>
  <c r="O195" i="17"/>
  <c r="O203" i="17"/>
  <c r="O211" i="17"/>
  <c r="O219" i="17"/>
  <c r="O227" i="17"/>
  <c r="O235" i="17"/>
  <c r="O243" i="17"/>
  <c r="O251" i="17"/>
  <c r="O259" i="17"/>
  <c r="O291" i="17"/>
  <c r="N308" i="17"/>
  <c r="Y322" i="17"/>
  <c r="W330" i="17"/>
  <c r="Z332" i="17"/>
  <c r="V343" i="17"/>
  <c r="V345" i="17"/>
  <c r="V351" i="17"/>
  <c r="O353" i="17"/>
  <c r="W354" i="17"/>
  <c r="X356" i="17"/>
  <c r="L173" i="17"/>
  <c r="L176" i="17"/>
  <c r="L189" i="17"/>
  <c r="L192" i="17"/>
  <c r="L205" i="17"/>
  <c r="L216" i="17"/>
  <c r="L224" i="17"/>
  <c r="L232" i="17"/>
  <c r="L240" i="17"/>
  <c r="L248" i="17"/>
  <c r="L256" i="17"/>
  <c r="L264" i="17"/>
  <c r="O270" i="17"/>
  <c r="N274" i="17"/>
  <c r="L275" i="17"/>
  <c r="N283" i="17"/>
  <c r="L283" i="17"/>
  <c r="N296" i="17"/>
  <c r="N299" i="17"/>
  <c r="L299" i="17"/>
  <c r="O308" i="17"/>
  <c r="AA322" i="17"/>
  <c r="W327" i="17"/>
  <c r="X331" i="17"/>
  <c r="Z334" i="17"/>
  <c r="V340" i="17"/>
  <c r="AA341" i="17"/>
  <c r="X349" i="17"/>
  <c r="V352" i="17"/>
  <c r="T351" i="17"/>
  <c r="U353" i="17" s="1"/>
  <c r="X352" i="17"/>
  <c r="Z361" i="17"/>
  <c r="O365" i="17"/>
  <c r="X369" i="17"/>
  <c r="W384" i="17"/>
  <c r="O171" i="17"/>
  <c r="O187" i="17"/>
  <c r="L168" i="17"/>
  <c r="L181" i="17"/>
  <c r="L184" i="17"/>
  <c r="L197" i="17"/>
  <c r="L200" i="17"/>
  <c r="M168" i="17"/>
  <c r="L170" i="17"/>
  <c r="M173" i="17"/>
  <c r="M176" i="17"/>
  <c r="L178" i="17"/>
  <c r="M181" i="17"/>
  <c r="M184" i="17"/>
  <c r="L186" i="17"/>
  <c r="M189" i="17"/>
  <c r="M192" i="17"/>
  <c r="L194" i="17"/>
  <c r="M197" i="17"/>
  <c r="M200" i="17"/>
  <c r="L202" i="17"/>
  <c r="M205" i="17"/>
  <c r="M208" i="17"/>
  <c r="L210" i="17"/>
  <c r="M213" i="17"/>
  <c r="M216" i="17"/>
  <c r="L218" i="17"/>
  <c r="M221" i="17"/>
  <c r="L226" i="17"/>
  <c r="M229" i="17"/>
  <c r="L234" i="17"/>
  <c r="M237" i="17"/>
  <c r="L242" i="17"/>
  <c r="M245" i="17"/>
  <c r="L250" i="17"/>
  <c r="M253" i="17"/>
  <c r="L258" i="17"/>
  <c r="M261" i="17"/>
  <c r="M275" i="17"/>
  <c r="M278" i="17"/>
  <c r="O283" i="17"/>
  <c r="M283" i="17"/>
  <c r="O299" i="17"/>
  <c r="M299" i="17"/>
  <c r="M302" i="17"/>
  <c r="L305" i="17"/>
  <c r="O322" i="17"/>
  <c r="T324" i="17"/>
  <c r="U326" i="17" s="1"/>
  <c r="Z331" i="17"/>
  <c r="X338" i="17"/>
  <c r="V342" i="17"/>
  <c r="O347" i="17"/>
  <c r="Z349" i="17"/>
  <c r="W352" i="17"/>
  <c r="X351" i="17"/>
  <c r="T354" i="17"/>
  <c r="U356" i="17" s="1"/>
  <c r="T360" i="17"/>
  <c r="U362" i="17" s="1"/>
  <c r="T363" i="17"/>
  <c r="U365" i="17" s="1"/>
  <c r="O379" i="17"/>
  <c r="T379" i="17"/>
  <c r="U381" i="17" s="1"/>
  <c r="M170" i="17"/>
  <c r="N175" i="17"/>
  <c r="M178" i="17"/>
  <c r="N183" i="17"/>
  <c r="M186" i="17"/>
  <c r="N191" i="17"/>
  <c r="M194" i="17"/>
  <c r="N199" i="17"/>
  <c r="M202" i="17"/>
  <c r="N207" i="17"/>
  <c r="M210" i="17"/>
  <c r="AA331" i="17"/>
  <c r="X337" i="17"/>
  <c r="Z338" i="17"/>
  <c r="AA349" i="17"/>
  <c r="X350" i="17"/>
  <c r="T367" i="17"/>
  <c r="U369" i="17" s="1"/>
  <c r="O383" i="17"/>
  <c r="V369" i="17"/>
  <c r="T381" i="17"/>
  <c r="U383" i="17" s="1"/>
  <c r="M270" i="17"/>
  <c r="M274" i="17"/>
  <c r="L276" i="17"/>
  <c r="L280" i="17"/>
  <c r="M282" i="17"/>
  <c r="M284" i="17"/>
  <c r="M293" i="17"/>
  <c r="L296" i="17"/>
  <c r="M298" i="17"/>
  <c r="Y367" i="17"/>
  <c r="AA381" i="17"/>
  <c r="L167" i="17"/>
  <c r="L169" i="17"/>
  <c r="O173" i="17"/>
  <c r="L175" i="17"/>
  <c r="L177" i="17"/>
  <c r="O181" i="17"/>
  <c r="L183" i="17"/>
  <c r="L185" i="17"/>
  <c r="O189" i="17"/>
  <c r="L191" i="17"/>
  <c r="L193" i="17"/>
  <c r="O197" i="17"/>
  <c r="L199" i="17"/>
  <c r="L201" i="17"/>
  <c r="O205" i="17"/>
  <c r="L207" i="17"/>
  <c r="L209" i="17"/>
  <c r="O213" i="17"/>
  <c r="L215" i="17"/>
  <c r="L217" i="17"/>
  <c r="O221" i="17"/>
  <c r="L223" i="17"/>
  <c r="L225" i="17"/>
  <c r="O229" i="17"/>
  <c r="L231" i="17"/>
  <c r="L233" i="17"/>
  <c r="O237" i="17"/>
  <c r="L239" i="17"/>
  <c r="L241" i="17"/>
  <c r="O245" i="17"/>
  <c r="L247" i="17"/>
  <c r="L249" i="17"/>
  <c r="O253" i="17"/>
  <c r="L255" i="17"/>
  <c r="L257" i="17"/>
  <c r="O261" i="17"/>
  <c r="L263" i="17"/>
  <c r="L265" i="17"/>
  <c r="O278" i="17"/>
  <c r="N282" i="17"/>
  <c r="L289" i="17"/>
  <c r="N298" i="17"/>
  <c r="O324" i="17"/>
  <c r="T328" i="17"/>
  <c r="U330" i="17" s="1"/>
  <c r="Z329" i="17"/>
  <c r="O333" i="17"/>
  <c r="X333" i="17"/>
  <c r="W346" i="17"/>
  <c r="X347" i="17"/>
  <c r="X353" i="17"/>
  <c r="Z354" i="17"/>
  <c r="AA357" i="17"/>
  <c r="T378" i="17"/>
  <c r="U380" i="17" s="1"/>
  <c r="T380" i="17"/>
  <c r="U382" i="17" s="1"/>
  <c r="O289" i="17"/>
  <c r="M287" i="17"/>
  <c r="AA319" i="17"/>
  <c r="O321" i="17"/>
  <c r="Z319" i="17"/>
  <c r="Y319" i="17"/>
  <c r="V321" i="17"/>
  <c r="M167" i="17"/>
  <c r="L172" i="17"/>
  <c r="M175" i="17"/>
  <c r="L180" i="17"/>
  <c r="M183" i="17"/>
  <c r="L188" i="17"/>
  <c r="M191" i="17"/>
  <c r="L196" i="17"/>
  <c r="M199" i="17"/>
  <c r="L204" i="17"/>
  <c r="M207" i="17"/>
  <c r="L212" i="17"/>
  <c r="O215" i="17"/>
  <c r="M215" i="17"/>
  <c r="L220" i="17"/>
  <c r="O223" i="17"/>
  <c r="M223" i="17"/>
  <c r="L228" i="17"/>
  <c r="O231" i="17"/>
  <c r="M231" i="17"/>
  <c r="L236" i="17"/>
  <c r="O239" i="17"/>
  <c r="M239" i="17"/>
  <c r="L244" i="17"/>
  <c r="O247" i="17"/>
  <c r="M247" i="17"/>
  <c r="L252" i="17"/>
  <c r="O255" i="17"/>
  <c r="M255" i="17"/>
  <c r="L260" i="17"/>
  <c r="O263" i="17"/>
  <c r="M263" i="17"/>
  <c r="M268" i="17"/>
  <c r="O274" i="17"/>
  <c r="M276" i="17"/>
  <c r="O282" i="17"/>
  <c r="L287" i="17"/>
  <c r="O298" i="17"/>
  <c r="O303" i="17"/>
  <c r="L301" i="17"/>
  <c r="W361" i="17"/>
  <c r="T359" i="17"/>
  <c r="U361" i="17" s="1"/>
  <c r="O361" i="17"/>
  <c r="AA359" i="17"/>
  <c r="Z359" i="17"/>
  <c r="X359" i="17"/>
  <c r="AA362" i="17"/>
  <c r="O364" i="17"/>
  <c r="V364" i="17"/>
  <c r="T362" i="17"/>
  <c r="U364" i="17" s="1"/>
  <c r="Z362" i="17"/>
  <c r="X362" i="17"/>
  <c r="W367" i="17"/>
  <c r="Y365" i="17"/>
  <c r="X365" i="17"/>
  <c r="V367" i="17"/>
  <c r="T365" i="17"/>
  <c r="U367" i="17" s="1"/>
  <c r="O367" i="17"/>
  <c r="AA365" i="17"/>
  <c r="M172" i="17"/>
  <c r="L166" i="17"/>
  <c r="N174" i="17"/>
  <c r="L174" i="17"/>
  <c r="N182" i="17"/>
  <c r="L182" i="17"/>
  <c r="N190" i="17"/>
  <c r="L190" i="17"/>
  <c r="N198" i="17"/>
  <c r="L198" i="17"/>
  <c r="N206" i="17"/>
  <c r="L206" i="17"/>
  <c r="N214" i="17"/>
  <c r="L214" i="17"/>
  <c r="N222" i="17"/>
  <c r="L222" i="17"/>
  <c r="N230" i="17"/>
  <c r="L230" i="17"/>
  <c r="N238" i="17"/>
  <c r="L238" i="17"/>
  <c r="N246" i="17"/>
  <c r="L246" i="17"/>
  <c r="N254" i="17"/>
  <c r="L254" i="17"/>
  <c r="N262" i="17"/>
  <c r="L262" i="17"/>
  <c r="L271" i="17"/>
  <c r="L273" i="17"/>
  <c r="L279" i="17"/>
  <c r="M285" i="17"/>
  <c r="T319" i="17"/>
  <c r="U321" i="17" s="1"/>
  <c r="AA330" i="17"/>
  <c r="O332" i="17"/>
  <c r="V332" i="17"/>
  <c r="T330" i="17"/>
  <c r="U332" i="17" s="1"/>
  <c r="Z330" i="17"/>
  <c r="X330" i="17"/>
  <c r="AA342" i="17"/>
  <c r="O344" i="17"/>
  <c r="X342" i="17"/>
  <c r="W344" i="17"/>
  <c r="V344" i="17"/>
  <c r="T342" i="17"/>
  <c r="U344" i="17" s="1"/>
  <c r="Z342" i="17"/>
  <c r="Z371" i="17"/>
  <c r="W373" i="17"/>
  <c r="V373" i="17"/>
  <c r="X371" i="17"/>
  <c r="T371" i="17"/>
  <c r="U373" i="17" s="1"/>
  <c r="O373" i="17"/>
  <c r="AA371" i="17"/>
  <c r="M166" i="17"/>
  <c r="L171" i="17"/>
  <c r="M174" i="17"/>
  <c r="L179" i="17"/>
  <c r="O182" i="17"/>
  <c r="M182" i="17"/>
  <c r="L187" i="17"/>
  <c r="O190" i="17"/>
  <c r="M190" i="17"/>
  <c r="L195" i="17"/>
  <c r="O198" i="17"/>
  <c r="M198" i="17"/>
  <c r="L203" i="17"/>
  <c r="O206" i="17"/>
  <c r="M206" i="17"/>
  <c r="L211" i="17"/>
  <c r="M214" i="17"/>
  <c r="L219" i="17"/>
  <c r="M222" i="17"/>
  <c r="L227" i="17"/>
  <c r="M230" i="17"/>
  <c r="L235" i="17"/>
  <c r="M238" i="17"/>
  <c r="L243" i="17"/>
  <c r="M246" i="17"/>
  <c r="L251" i="17"/>
  <c r="M254" i="17"/>
  <c r="L259" i="17"/>
  <c r="M262" i="17"/>
  <c r="L267" i="17"/>
  <c r="M269" i="17"/>
  <c r="M271" i="17"/>
  <c r="N275" i="17"/>
  <c r="M277" i="17"/>
  <c r="M279" i="17"/>
  <c r="L288" i="17"/>
  <c r="N294" i="17"/>
  <c r="M292" i="17"/>
  <c r="L292" i="17"/>
  <c r="O297" i="17"/>
  <c r="N297" i="17"/>
  <c r="M295" i="17"/>
  <c r="O311" i="17"/>
  <c r="L309" i="17"/>
  <c r="W357" i="17"/>
  <c r="X355" i="17"/>
  <c r="V357" i="17"/>
  <c r="T355" i="17"/>
  <c r="U357" i="17" s="1"/>
  <c r="O357" i="17"/>
  <c r="Z355" i="17"/>
  <c r="V361" i="17"/>
  <c r="W364" i="17"/>
  <c r="Z365" i="17"/>
  <c r="Z375" i="17"/>
  <c r="W377" i="17"/>
  <c r="V377" i="17"/>
  <c r="AA375" i="17"/>
  <c r="Y375" i="17"/>
  <c r="X375" i="17"/>
  <c r="T375" i="17"/>
  <c r="U377" i="17" s="1"/>
  <c r="O377" i="17"/>
  <c r="W341" i="17"/>
  <c r="X339" i="17"/>
  <c r="V341" i="17"/>
  <c r="T339" i="17"/>
  <c r="U341" i="17" s="1"/>
  <c r="O341" i="17"/>
  <c r="Z339" i="17"/>
  <c r="N168" i="17"/>
  <c r="M171" i="17"/>
  <c r="N176" i="17"/>
  <c r="M179" i="17"/>
  <c r="N184" i="17"/>
  <c r="M187" i="17"/>
  <c r="N192" i="17"/>
  <c r="M195" i="17"/>
  <c r="N200" i="17"/>
  <c r="M203" i="17"/>
  <c r="N208" i="17"/>
  <c r="M211" i="17"/>
  <c r="N216" i="17"/>
  <c r="M219" i="17"/>
  <c r="N224" i="17"/>
  <c r="M227" i="17"/>
  <c r="N232" i="17"/>
  <c r="M235" i="17"/>
  <c r="N240" i="17"/>
  <c r="M243" i="17"/>
  <c r="N248" i="17"/>
  <c r="M251" i="17"/>
  <c r="N256" i="17"/>
  <c r="M259" i="17"/>
  <c r="N264" i="17"/>
  <c r="M267" i="17"/>
  <c r="N273" i="17"/>
  <c r="O275" i="17"/>
  <c r="N281" i="17"/>
  <c r="L286" i="17"/>
  <c r="O288" i="17"/>
  <c r="W321" i="17"/>
  <c r="V329" i="17"/>
  <c r="Y339" i="17"/>
  <c r="AA358" i="17"/>
  <c r="O360" i="17"/>
  <c r="X358" i="17"/>
  <c r="W360" i="17"/>
  <c r="V360" i="17"/>
  <c r="T358" i="17"/>
  <c r="U360" i="17" s="1"/>
  <c r="Z358" i="17"/>
  <c r="AA366" i="17"/>
  <c r="O368" i="17"/>
  <c r="Y366" i="17"/>
  <c r="V368" i="17"/>
  <c r="T366" i="17"/>
  <c r="U368" i="17" s="1"/>
  <c r="X366" i="17"/>
  <c r="O269" i="17"/>
  <c r="O271" i="17"/>
  <c r="O279" i="17"/>
  <c r="M286" i="17"/>
  <c r="O290" i="17"/>
  <c r="O295" i="17"/>
  <c r="L293" i="17"/>
  <c r="X319" i="17"/>
  <c r="T321" i="17"/>
  <c r="U323" i="17" s="1"/>
  <c r="AA321" i="17"/>
  <c r="O323" i="17"/>
  <c r="Z321" i="17"/>
  <c r="Y321" i="17"/>
  <c r="V323" i="17"/>
  <c r="W332" i="17"/>
  <c r="AA339" i="17"/>
  <c r="Y342" i="17"/>
  <c r="Y371" i="17"/>
  <c r="O287" i="17"/>
  <c r="L285" i="17"/>
  <c r="N310" i="17"/>
  <c r="M308" i="17"/>
  <c r="L308" i="17"/>
  <c r="W329" i="17"/>
  <c r="T327" i="17"/>
  <c r="U329" i="17" s="1"/>
  <c r="O329" i="17"/>
  <c r="AA327" i="17"/>
  <c r="Z327" i="17"/>
  <c r="X327" i="17"/>
  <c r="L270" i="17"/>
  <c r="O272" i="17"/>
  <c r="L278" i="17"/>
  <c r="O280" i="17"/>
  <c r="N286" i="17"/>
  <c r="L284" i="17"/>
  <c r="N302" i="17"/>
  <c r="M300" i="17"/>
  <c r="L300" i="17"/>
  <c r="M303" i="17"/>
  <c r="W345" i="17"/>
  <c r="T343" i="17"/>
  <c r="U345" i="17" s="1"/>
  <c r="O345" i="17"/>
  <c r="AA343" i="17"/>
  <c r="Z343" i="17"/>
  <c r="X343" i="17"/>
  <c r="AA346" i="17"/>
  <c r="O348" i="17"/>
  <c r="V348" i="17"/>
  <c r="T346" i="17"/>
  <c r="U348" i="17" s="1"/>
  <c r="Z346" i="17"/>
  <c r="X346" i="17"/>
  <c r="V374" i="17"/>
  <c r="AA372" i="17"/>
  <c r="O374" i="17"/>
  <c r="Z372" i="17"/>
  <c r="Y372" i="17"/>
  <c r="W374" i="17"/>
  <c r="T372" i="17"/>
  <c r="U374" i="17" s="1"/>
  <c r="V378" i="17"/>
  <c r="AA376" i="17"/>
  <c r="O378" i="17"/>
  <c r="Z376" i="17"/>
  <c r="Y376" i="17"/>
  <c r="X376" i="17"/>
  <c r="W378" i="17"/>
  <c r="T376" i="17"/>
  <c r="U378" i="17" s="1"/>
  <c r="O296" i="17"/>
  <c r="O304" i="17"/>
  <c r="O312" i="17"/>
  <c r="T314" i="17"/>
  <c r="Z320" i="17"/>
  <c r="Z322" i="17"/>
  <c r="V325" i="17"/>
  <c r="Z324" i="17"/>
  <c r="V327" i="17"/>
  <c r="Z326" i="17"/>
  <c r="AA329" i="17"/>
  <c r="Y333" i="17"/>
  <c r="AA336" i="17"/>
  <c r="O338" i="17"/>
  <c r="Y336" i="17"/>
  <c r="V339" i="17"/>
  <c r="T341" i="17"/>
  <c r="U343" i="17" s="1"/>
  <c r="AA345" i="17"/>
  <c r="Y349" i="17"/>
  <c r="AA352" i="17"/>
  <c r="O354" i="17"/>
  <c r="Y352" i="17"/>
  <c r="V355" i="17"/>
  <c r="T357" i="17"/>
  <c r="U359" i="17" s="1"/>
  <c r="AA361" i="17"/>
  <c r="Z373" i="17"/>
  <c r="W375" i="17"/>
  <c r="V375" i="17"/>
  <c r="V376" i="17"/>
  <c r="AA374" i="17"/>
  <c r="O376" i="17"/>
  <c r="Z374" i="17"/>
  <c r="Y374" i="17"/>
  <c r="O381" i="17"/>
  <c r="X323" i="17"/>
  <c r="X325" i="17"/>
  <c r="Y337" i="17"/>
  <c r="AA340" i="17"/>
  <c r="O342" i="17"/>
  <c r="Y340" i="17"/>
  <c r="T345" i="17"/>
  <c r="U347" i="17" s="1"/>
  <c r="Y353" i="17"/>
  <c r="AA356" i="17"/>
  <c r="O358" i="17"/>
  <c r="Y356" i="17"/>
  <c r="T361" i="17"/>
  <c r="U363" i="17" s="1"/>
  <c r="Z367" i="17"/>
  <c r="W369" i="17"/>
  <c r="AA367" i="17"/>
  <c r="Z369" i="17"/>
  <c r="W371" i="17"/>
  <c r="V371" i="17"/>
  <c r="V372" i="17"/>
  <c r="AA370" i="17"/>
  <c r="O372" i="17"/>
  <c r="Z370" i="17"/>
  <c r="Y370" i="17"/>
  <c r="T377" i="17"/>
  <c r="U379" i="17" s="1"/>
  <c r="X379" i="17"/>
  <c r="Y323" i="17"/>
  <c r="Y325" i="17"/>
  <c r="Y331" i="17"/>
  <c r="V334" i="17"/>
  <c r="O335" i="17"/>
  <c r="AA334" i="17"/>
  <c r="O336" i="17"/>
  <c r="Y334" i="17"/>
  <c r="V337" i="17"/>
  <c r="T336" i="17"/>
  <c r="U338" i="17" s="1"/>
  <c r="Z337" i="17"/>
  <c r="Z340" i="17"/>
  <c r="X341" i="17"/>
  <c r="Y347" i="17"/>
  <c r="V350" i="17"/>
  <c r="O351" i="17"/>
  <c r="AA350" i="17"/>
  <c r="O352" i="17"/>
  <c r="Y350" i="17"/>
  <c r="V353" i="17"/>
  <c r="T352" i="17"/>
  <c r="U354" i="17" s="1"/>
  <c r="Z353" i="17"/>
  <c r="Z356" i="17"/>
  <c r="X357" i="17"/>
  <c r="Y363" i="17"/>
  <c r="V366" i="17"/>
  <c r="V370" i="17"/>
  <c r="AA368" i="17"/>
  <c r="O370" i="17"/>
  <c r="Z368" i="17"/>
  <c r="Y368" i="17"/>
  <c r="O375" i="17"/>
  <c r="T374" i="17"/>
  <c r="U376" i="17" s="1"/>
  <c r="X377" i="17"/>
  <c r="W380" i="17"/>
  <c r="V322" i="17"/>
  <c r="V324" i="17"/>
  <c r="Z323" i="17"/>
  <c r="V326" i="17"/>
  <c r="Z325" i="17"/>
  <c r="V328" i="17"/>
  <c r="AA328" i="17"/>
  <c r="O330" i="17"/>
  <c r="Y328" i="17"/>
  <c r="V331" i="17"/>
  <c r="W334" i="17"/>
  <c r="AA337" i="17"/>
  <c r="Y341" i="17"/>
  <c r="AA344" i="17"/>
  <c r="O346" i="17"/>
  <c r="Y344" i="17"/>
  <c r="V347" i="17"/>
  <c r="W350" i="17"/>
  <c r="T349" i="17"/>
  <c r="U351" i="17" s="1"/>
  <c r="AA353" i="17"/>
  <c r="Y357" i="17"/>
  <c r="AA360" i="17"/>
  <c r="O362" i="17"/>
  <c r="Y360" i="17"/>
  <c r="V363" i="17"/>
  <c r="Z363" i="17"/>
  <c r="W366" i="17"/>
  <c r="T373" i="17"/>
  <c r="U375" i="17" s="1"/>
  <c r="Y377" i="17"/>
  <c r="V382" i="17"/>
  <c r="AA380" i="17"/>
  <c r="O382" i="17"/>
  <c r="Z380" i="17"/>
  <c r="Y380" i="17"/>
  <c r="W322" i="17"/>
  <c r="W324" i="17"/>
  <c r="O325" i="17"/>
  <c r="AA323" i="17"/>
  <c r="W326" i="17"/>
  <c r="O327" i="17"/>
  <c r="AA325" i="17"/>
  <c r="W328" i="17"/>
  <c r="Z328" i="17"/>
  <c r="X329" i="17"/>
  <c r="Y335" i="17"/>
  <c r="V338" i="17"/>
  <c r="O339" i="17"/>
  <c r="AA338" i="17"/>
  <c r="O340" i="17"/>
  <c r="Y338" i="17"/>
  <c r="T340" i="17"/>
  <c r="U342" i="17" s="1"/>
  <c r="Z341" i="17"/>
  <c r="Z344" i="17"/>
  <c r="X345" i="17"/>
  <c r="AA347" i="17"/>
  <c r="Y351" i="17"/>
  <c r="V354" i="17"/>
  <c r="O355" i="17"/>
  <c r="AA354" i="17"/>
  <c r="O356" i="17"/>
  <c r="Y354" i="17"/>
  <c r="T356" i="17"/>
  <c r="U358" i="17" s="1"/>
  <c r="Z357" i="17"/>
  <c r="Z360" i="17"/>
  <c r="X361" i="17"/>
  <c r="AA363" i="17"/>
  <c r="O369" i="17"/>
  <c r="O371" i="17"/>
  <c r="T370" i="17"/>
  <c r="U372" i="17" s="1"/>
  <c r="X373" i="17"/>
  <c r="W376" i="17"/>
  <c r="Z379" i="17"/>
  <c r="Y379" i="17"/>
  <c r="W381" i="17"/>
  <c r="V381" i="17"/>
  <c r="X326" i="17"/>
  <c r="Y329" i="17"/>
  <c r="AA332" i="17"/>
  <c r="O334" i="17"/>
  <c r="Y332" i="17"/>
  <c r="T337" i="17"/>
  <c r="U339" i="17" s="1"/>
  <c r="Y345" i="17"/>
  <c r="AA348" i="17"/>
  <c r="O350" i="17"/>
  <c r="Y348" i="17"/>
  <c r="T353" i="17"/>
  <c r="U355" i="17" s="1"/>
  <c r="Y361" i="17"/>
  <c r="AA364" i="17"/>
  <c r="O366" i="17"/>
  <c r="Y364" i="17"/>
  <c r="Z364" i="17"/>
  <c r="Z377" i="17"/>
  <c r="W379" i="17"/>
  <c r="V379" i="17"/>
  <c r="V380" i="17"/>
  <c r="AA378" i="17"/>
  <c r="O380" i="17"/>
  <c r="Z378" i="17"/>
  <c r="Y378" i="17"/>
  <c r="X382" i="17"/>
  <c r="Y382" i="17"/>
  <c r="V383" i="17"/>
  <c r="Z382" i="17"/>
  <c r="W383" i="17"/>
  <c r="O384" i="17"/>
  <c r="AA382" i="17"/>
  <c r="X381" i="17"/>
  <c r="T382" i="17"/>
  <c r="U384" i="17" s="1"/>
  <c r="Y381" i="17"/>
  <c r="N420" i="10"/>
  <c r="N419" i="10"/>
  <c r="N418" i="10"/>
  <c r="Q352" i="10"/>
  <c r="N352" i="10"/>
  <c r="N351" i="10"/>
  <c r="N350" i="10"/>
  <c r="R349" i="10"/>
  <c r="Q349" i="10"/>
  <c r="R348" i="10"/>
  <c r="S348" i="10" s="1"/>
  <c r="U348" i="10" s="1"/>
  <c r="Q348" i="10"/>
  <c r="N347" i="10"/>
  <c r="N346" i="10"/>
  <c r="B1" i="10" a="1"/>
  <c r="B1" i="10" s="1"/>
  <c r="B2" i="10" s="1"/>
  <c r="T313" i="17" l="1"/>
  <c r="T316" i="17"/>
  <c r="U318" i="17" s="1"/>
  <c r="T317" i="17"/>
  <c r="U319" i="17" s="1"/>
  <c r="T315" i="17"/>
  <c r="V317" i="17" s="1"/>
  <c r="P320" i="17"/>
  <c r="D42" i="10"/>
  <c r="D32" i="10"/>
  <c r="D16" i="10"/>
  <c r="E1" i="10"/>
  <c r="O3" i="10"/>
  <c r="E2" i="10"/>
  <c r="O2" i="10"/>
  <c r="P2" i="10" s="1"/>
  <c r="O1" i="10"/>
  <c r="O4" i="10"/>
  <c r="S349" i="10"/>
  <c r="U349" i="10" s="1"/>
  <c r="V319" i="17" l="1"/>
  <c r="V318" i="17"/>
  <c r="U317" i="17"/>
  <c r="D80" i="10"/>
  <c r="D91" i="10"/>
  <c r="D29" i="10"/>
  <c r="D119" i="10"/>
  <c r="D48" i="10"/>
  <c r="D17" i="10"/>
  <c r="D19" i="10"/>
  <c r="D27" i="10"/>
  <c r="D15" i="10"/>
  <c r="D92" i="10"/>
  <c r="D46" i="10"/>
  <c r="D37" i="10"/>
  <c r="D20" i="10"/>
  <c r="D61" i="10"/>
  <c r="D112" i="10"/>
  <c r="D122" i="10"/>
  <c r="D123" i="10"/>
  <c r="D102" i="10"/>
  <c r="D107" i="10"/>
  <c r="D117" i="10"/>
  <c r="D52" i="10"/>
  <c r="D21" i="10"/>
  <c r="D93" i="10"/>
  <c r="D60" i="10"/>
  <c r="D35" i="10"/>
  <c r="D79" i="10"/>
  <c r="D12" i="10"/>
  <c r="D105" i="10"/>
  <c r="D100" i="10"/>
  <c r="D99" i="10"/>
  <c r="D57" i="10"/>
  <c r="D72" i="10"/>
  <c r="D23" i="10"/>
  <c r="D104" i="10"/>
  <c r="D51" i="10"/>
  <c r="D45" i="10"/>
  <c r="D28" i="10"/>
  <c r="D73" i="10"/>
  <c r="D113" i="10"/>
  <c r="D50" i="10"/>
  <c r="D125" i="10"/>
  <c r="D110" i="10"/>
  <c r="D120" i="10"/>
  <c r="D116" i="10"/>
  <c r="D11" i="10"/>
  <c r="E11" i="10" s="1"/>
  <c r="D85" i="10"/>
  <c r="D106" i="10"/>
  <c r="D24" i="10"/>
  <c r="D38" i="10"/>
  <c r="D103" i="10"/>
  <c r="D114" i="10"/>
  <c r="D34" i="10"/>
  <c r="D49" i="10"/>
  <c r="D31" i="10"/>
  <c r="D111" i="10"/>
  <c r="D65" i="10"/>
  <c r="D56" i="10"/>
  <c r="D36" i="10"/>
  <c r="D81" i="10"/>
  <c r="D115" i="10"/>
  <c r="D58" i="10"/>
  <c r="D95" i="10"/>
  <c r="D121" i="10"/>
  <c r="D74" i="10"/>
  <c r="D124" i="10"/>
  <c r="D62" i="10"/>
  <c r="D89" i="10"/>
  <c r="D33" i="10"/>
  <c r="D18" i="10"/>
  <c r="D41" i="10"/>
  <c r="D39" i="10"/>
  <c r="D96" i="10"/>
  <c r="D59" i="10"/>
  <c r="D44" i="10"/>
  <c r="D55" i="10"/>
  <c r="D66" i="10"/>
  <c r="D63" i="10"/>
  <c r="D101" i="10"/>
  <c r="D67" i="10"/>
  <c r="D82" i="10"/>
  <c r="D26" i="10"/>
  <c r="D30" i="10"/>
  <c r="D86" i="10"/>
  <c r="D109" i="10"/>
  <c r="E109" i="10" s="1"/>
  <c r="D25" i="10"/>
  <c r="D47" i="10"/>
  <c r="D14" i="10"/>
  <c r="D69" i="10"/>
  <c r="D53" i="10"/>
  <c r="D84" i="10"/>
  <c r="D76" i="10"/>
  <c r="D71" i="10"/>
  <c r="D70" i="10"/>
  <c r="D75" i="10"/>
  <c r="D90" i="10"/>
  <c r="D40" i="10"/>
  <c r="D118" i="10"/>
  <c r="D97" i="10"/>
  <c r="D64" i="10"/>
  <c r="D54" i="10"/>
  <c r="D22" i="10"/>
  <c r="D13" i="10"/>
  <c r="D108" i="10"/>
  <c r="D68" i="10"/>
  <c r="D87" i="10"/>
  <c r="D88" i="10"/>
  <c r="D77" i="10"/>
  <c r="D78" i="10"/>
  <c r="D83" i="10"/>
  <c r="D98" i="10"/>
  <c r="E98" i="10" s="1"/>
  <c r="D43" i="10"/>
  <c r="E114" i="10" l="1"/>
  <c r="F114" i="10" s="1"/>
  <c r="G114" i="10" s="1"/>
  <c r="E116" i="10"/>
  <c r="E118" i="10"/>
  <c r="E120" i="10"/>
  <c r="F120" i="10" s="1"/>
  <c r="S120" i="10" s="1"/>
  <c r="E117" i="10"/>
  <c r="F117" i="10" s="1"/>
  <c r="S117" i="10" s="1"/>
  <c r="E115" i="10"/>
  <c r="E113" i="10"/>
  <c r="F113" i="10" s="1"/>
  <c r="S113" i="10" s="1"/>
  <c r="E99" i="10"/>
  <c r="F99" i="10" s="1"/>
  <c r="E111" i="10"/>
  <c r="E110" i="10"/>
  <c r="F110" i="10" s="1"/>
  <c r="E125" i="10"/>
  <c r="E123" i="10"/>
  <c r="F123" i="10" s="1"/>
  <c r="S123" i="10" s="1"/>
  <c r="E106" i="10"/>
  <c r="F106" i="10" s="1"/>
  <c r="S106" i="10" s="1"/>
  <c r="E124" i="10"/>
  <c r="F124" i="10" s="1"/>
  <c r="S124" i="10" s="1"/>
  <c r="E101" i="10"/>
  <c r="F101" i="10" s="1"/>
  <c r="F111" i="10"/>
  <c r="E107" i="10"/>
  <c r="F107" i="10" s="1"/>
  <c r="S107" i="10" s="1"/>
  <c r="F98" i="10"/>
  <c r="S98" i="10" s="1"/>
  <c r="F118" i="10"/>
  <c r="F109" i="10"/>
  <c r="S109" i="10" s="1"/>
  <c r="F115" i="10"/>
  <c r="S115" i="10" s="1"/>
  <c r="E100" i="10"/>
  <c r="F100" i="10" s="1"/>
  <c r="E122" i="10"/>
  <c r="F122" i="10" s="1"/>
  <c r="E119" i="10"/>
  <c r="F119" i="10" s="1"/>
  <c r="E103" i="10"/>
  <c r="F103" i="10" s="1"/>
  <c r="E104" i="10"/>
  <c r="F104" i="10" s="1"/>
  <c r="E108" i="10"/>
  <c r="F108" i="10" s="1"/>
  <c r="E121" i="10"/>
  <c r="F121" i="10" s="1"/>
  <c r="F116" i="10"/>
  <c r="S116" i="10" s="1"/>
  <c r="F125" i="10"/>
  <c r="S125" i="10" s="1"/>
  <c r="E105" i="10"/>
  <c r="F105" i="10" s="1"/>
  <c r="E102" i="10"/>
  <c r="F102" i="10" s="1"/>
  <c r="E112" i="10"/>
  <c r="F112" i="10" s="1"/>
  <c r="E97" i="10"/>
  <c r="F97" i="10" s="1"/>
  <c r="E81" i="10"/>
  <c r="F81" i="10" s="1"/>
  <c r="E55" i="10"/>
  <c r="F55" i="10" s="1"/>
  <c r="E47" i="10"/>
  <c r="F47" i="10" s="1"/>
  <c r="E31" i="10"/>
  <c r="F31" i="10" s="1"/>
  <c r="E27" i="10"/>
  <c r="F27" i="10" s="1"/>
  <c r="E35" i="10"/>
  <c r="F35" i="10" s="1"/>
  <c r="E37" i="10"/>
  <c r="F37" i="10" s="1"/>
  <c r="E83" i="10"/>
  <c r="F83" i="10" s="1"/>
  <c r="E82" i="10"/>
  <c r="F82" i="10" s="1"/>
  <c r="E44" i="10"/>
  <c r="F44" i="10" s="1"/>
  <c r="E89" i="10"/>
  <c r="F89" i="10" s="1"/>
  <c r="E34" i="10"/>
  <c r="F34" i="10" s="1"/>
  <c r="E38" i="10"/>
  <c r="F38" i="10" s="1"/>
  <c r="F11" i="10"/>
  <c r="S11" i="10" s="1"/>
  <c r="E59" i="10"/>
  <c r="F59" i="10" s="1"/>
  <c r="E95" i="10"/>
  <c r="E46" i="10"/>
  <c r="F46" i="10" s="1"/>
  <c r="E32" i="10"/>
  <c r="F32" i="10" s="1"/>
  <c r="E65" i="10"/>
  <c r="F65" i="10" s="1"/>
  <c r="E77" i="10"/>
  <c r="F77" i="10" s="1"/>
  <c r="E22" i="10"/>
  <c r="F22" i="10" s="1"/>
  <c r="E45" i="10"/>
  <c r="F45" i="10" s="1"/>
  <c r="E29" i="10"/>
  <c r="F29" i="10" s="1"/>
  <c r="E88" i="10"/>
  <c r="F88" i="10" s="1"/>
  <c r="E41" i="10"/>
  <c r="F41" i="10" s="1"/>
  <c r="E91" i="10"/>
  <c r="F91" i="10" s="1"/>
  <c r="E64" i="10"/>
  <c r="F64" i="10" s="1"/>
  <c r="E40" i="10"/>
  <c r="F40" i="10" s="1"/>
  <c r="E69" i="10"/>
  <c r="F69" i="10" s="1"/>
  <c r="E86" i="10"/>
  <c r="F86" i="10" s="1"/>
  <c r="E63" i="10"/>
  <c r="F63" i="10" s="1"/>
  <c r="E18" i="10"/>
  <c r="F18" i="10" s="1"/>
  <c r="E80" i="10"/>
  <c r="F80" i="10" s="1"/>
  <c r="E68" i="10"/>
  <c r="F68" i="10" s="1"/>
  <c r="E74" i="10"/>
  <c r="F74" i="10" s="1"/>
  <c r="E42" i="10"/>
  <c r="F42" i="10" s="1"/>
  <c r="E70" i="10"/>
  <c r="F70" i="10" s="1"/>
  <c r="E25" i="10"/>
  <c r="F25" i="10" s="1"/>
  <c r="E96" i="10"/>
  <c r="F96" i="10" s="1"/>
  <c r="E49" i="10"/>
  <c r="F49" i="10" s="1"/>
  <c r="E85" i="10"/>
  <c r="F85" i="10" s="1"/>
  <c r="E73" i="10"/>
  <c r="F73" i="10" s="1"/>
  <c r="E23" i="10"/>
  <c r="F23" i="10" s="1"/>
  <c r="E21" i="10"/>
  <c r="F21" i="10" s="1"/>
  <c r="E61" i="10"/>
  <c r="F61" i="10" s="1"/>
  <c r="E15" i="10"/>
  <c r="F15" i="10" s="1"/>
  <c r="E57" i="10"/>
  <c r="F57" i="10" s="1"/>
  <c r="E58" i="10"/>
  <c r="F58" i="10" s="1"/>
  <c r="E43" i="10"/>
  <c r="F43" i="10" s="1"/>
  <c r="E90" i="10"/>
  <c r="F90" i="10" s="1"/>
  <c r="E67" i="10"/>
  <c r="F67" i="10" s="1"/>
  <c r="E62" i="10"/>
  <c r="F62" i="10" s="1"/>
  <c r="E36" i="10"/>
  <c r="F36" i="10" s="1"/>
  <c r="E94" i="10"/>
  <c r="F94" i="10" s="1"/>
  <c r="E51" i="10"/>
  <c r="F51" i="10" s="1"/>
  <c r="E12" i="10"/>
  <c r="F12" i="10" s="1"/>
  <c r="E17" i="10"/>
  <c r="F17" i="10" s="1"/>
  <c r="E93" i="10"/>
  <c r="F93" i="10" s="1"/>
  <c r="E76" i="10"/>
  <c r="F76" i="10" s="1"/>
  <c r="E78" i="10"/>
  <c r="F78" i="10" s="1"/>
  <c r="E87" i="10"/>
  <c r="F87" i="10" s="1"/>
  <c r="E54" i="10"/>
  <c r="F54" i="10" s="1"/>
  <c r="E71" i="10"/>
  <c r="F71" i="10" s="1"/>
  <c r="E84" i="10"/>
  <c r="F84" i="10" s="1"/>
  <c r="E30" i="10"/>
  <c r="F30" i="10" s="1"/>
  <c r="E66" i="10"/>
  <c r="F66" i="10" s="1"/>
  <c r="E39" i="10"/>
  <c r="F39" i="10" s="1"/>
  <c r="E24" i="10"/>
  <c r="F24" i="10" s="1"/>
  <c r="E19" i="10"/>
  <c r="F19" i="10" s="1"/>
  <c r="E13" i="10"/>
  <c r="F13" i="10" s="1"/>
  <c r="E14" i="10"/>
  <c r="F14" i="10" s="1"/>
  <c r="E33" i="10"/>
  <c r="F33" i="10" s="1"/>
  <c r="E75" i="10"/>
  <c r="F75" i="10" s="1"/>
  <c r="E53" i="10"/>
  <c r="F53" i="10" s="1"/>
  <c r="E26" i="10"/>
  <c r="F26" i="10" s="1"/>
  <c r="F95" i="10"/>
  <c r="E56" i="10"/>
  <c r="F56" i="10" s="1"/>
  <c r="E50" i="10"/>
  <c r="F50" i="10" s="1"/>
  <c r="E28" i="10"/>
  <c r="F28" i="10" s="1"/>
  <c r="E72" i="10"/>
  <c r="F72" i="10" s="1"/>
  <c r="E79" i="10"/>
  <c r="F79" i="10" s="1"/>
  <c r="E60" i="10"/>
  <c r="F60" i="10" s="1"/>
  <c r="E20" i="10"/>
  <c r="F20" i="10" s="1"/>
  <c r="E48" i="10"/>
  <c r="F48" i="10" s="1"/>
  <c r="E92" i="10"/>
  <c r="F92" i="10" s="1"/>
  <c r="E16" i="10"/>
  <c r="F16" i="10" s="1"/>
  <c r="E52" i="10"/>
  <c r="F52" i="10" s="1"/>
  <c r="O86" i="10" l="1"/>
  <c r="R86" i="10" s="1"/>
  <c r="S86" i="10"/>
  <c r="O102" i="10"/>
  <c r="R102" i="10" s="1"/>
  <c r="S102" i="10"/>
  <c r="O99" i="10"/>
  <c r="R99" i="10" s="1"/>
  <c r="S99" i="10"/>
  <c r="O48" i="10"/>
  <c r="R48" i="10" s="1"/>
  <c r="S48" i="10"/>
  <c r="O95" i="10"/>
  <c r="R95" i="10" s="1"/>
  <c r="S95" i="10"/>
  <c r="O87" i="10"/>
  <c r="R87" i="10" s="1"/>
  <c r="S87" i="10"/>
  <c r="O36" i="10"/>
  <c r="R36" i="10" s="1"/>
  <c r="S36" i="10"/>
  <c r="O61" i="10"/>
  <c r="R61" i="10" s="1"/>
  <c r="S61" i="10"/>
  <c r="O70" i="10"/>
  <c r="R70" i="10" s="1"/>
  <c r="S70" i="10"/>
  <c r="O69" i="10"/>
  <c r="R69" i="10" s="1"/>
  <c r="S69" i="10"/>
  <c r="O22" i="10"/>
  <c r="R22" i="10" s="1"/>
  <c r="S22" i="10"/>
  <c r="O38" i="10"/>
  <c r="R38" i="10" s="1"/>
  <c r="S38" i="10"/>
  <c r="O27" i="10"/>
  <c r="R27" i="10" s="1"/>
  <c r="S27" i="10"/>
  <c r="O105" i="10"/>
  <c r="R105" i="10" s="1"/>
  <c r="S105" i="10"/>
  <c r="O122" i="10"/>
  <c r="R122" i="10" s="1"/>
  <c r="S122" i="10"/>
  <c r="O101" i="10"/>
  <c r="R101" i="10" s="1"/>
  <c r="S101" i="10"/>
  <c r="O56" i="10"/>
  <c r="R56" i="10" s="1"/>
  <c r="S56" i="10"/>
  <c r="O45" i="10"/>
  <c r="R45" i="10" s="1"/>
  <c r="S45" i="10"/>
  <c r="O35" i="10"/>
  <c r="R35" i="10" s="1"/>
  <c r="S35" i="10"/>
  <c r="O119" i="10"/>
  <c r="R119" i="10" s="1"/>
  <c r="S119" i="10"/>
  <c r="O111" i="10"/>
  <c r="R111" i="10" s="1"/>
  <c r="S111" i="10"/>
  <c r="O20" i="10"/>
  <c r="R20" i="10" s="1"/>
  <c r="S20" i="10"/>
  <c r="O26" i="10"/>
  <c r="R26" i="10" s="1"/>
  <c r="S26" i="10"/>
  <c r="O24" i="10"/>
  <c r="R24" i="10" s="1"/>
  <c r="S24" i="10"/>
  <c r="O78" i="10"/>
  <c r="R78" i="10" s="1"/>
  <c r="S78" i="10"/>
  <c r="O62" i="10"/>
  <c r="R62" i="10" s="1"/>
  <c r="S62" i="10"/>
  <c r="O21" i="10"/>
  <c r="R21" i="10" s="1"/>
  <c r="S21" i="10"/>
  <c r="O42" i="10"/>
  <c r="R42" i="10" s="1"/>
  <c r="S42" i="10"/>
  <c r="O40" i="10"/>
  <c r="R40" i="10" s="1"/>
  <c r="S40" i="10"/>
  <c r="O77" i="10"/>
  <c r="R77" i="10" s="1"/>
  <c r="S77" i="10"/>
  <c r="O34" i="10"/>
  <c r="R34" i="10" s="1"/>
  <c r="S34" i="10"/>
  <c r="O31" i="10"/>
  <c r="R31" i="10" s="1"/>
  <c r="S31" i="10"/>
  <c r="O100" i="10"/>
  <c r="R100" i="10" s="1"/>
  <c r="S100" i="10"/>
  <c r="O54" i="10"/>
  <c r="R54" i="10" s="1"/>
  <c r="S54" i="10"/>
  <c r="O25" i="10"/>
  <c r="R25" i="10" s="1"/>
  <c r="S25" i="10"/>
  <c r="O60" i="10"/>
  <c r="R60" i="10" s="1"/>
  <c r="S60" i="10"/>
  <c r="O53" i="10"/>
  <c r="R53" i="10" s="1"/>
  <c r="S53" i="10"/>
  <c r="O39" i="10"/>
  <c r="R39" i="10" s="1"/>
  <c r="S39" i="10"/>
  <c r="O76" i="10"/>
  <c r="R76" i="10" s="1"/>
  <c r="S76" i="10"/>
  <c r="O67" i="10"/>
  <c r="R67" i="10" s="1"/>
  <c r="S67" i="10"/>
  <c r="O23" i="10"/>
  <c r="R23" i="10" s="1"/>
  <c r="S23" i="10"/>
  <c r="O74" i="10"/>
  <c r="R74" i="10" s="1"/>
  <c r="S74" i="10"/>
  <c r="O64" i="10"/>
  <c r="R64" i="10" s="1"/>
  <c r="S64" i="10"/>
  <c r="O65" i="10"/>
  <c r="R65" i="10" s="1"/>
  <c r="S65" i="10"/>
  <c r="O89" i="10"/>
  <c r="R89" i="10" s="1"/>
  <c r="S89" i="10"/>
  <c r="O47" i="10"/>
  <c r="R47" i="10" s="1"/>
  <c r="S47" i="10"/>
  <c r="O66" i="10"/>
  <c r="R66" i="10" s="1"/>
  <c r="S66" i="10"/>
  <c r="O93" i="10"/>
  <c r="R93" i="10" s="1"/>
  <c r="S93" i="10"/>
  <c r="O90" i="10"/>
  <c r="R90" i="10" s="1"/>
  <c r="S90" i="10"/>
  <c r="O73" i="10"/>
  <c r="R73" i="10" s="1"/>
  <c r="S73" i="10"/>
  <c r="O68" i="10"/>
  <c r="R68" i="10" s="1"/>
  <c r="S68" i="10"/>
  <c r="O91" i="10"/>
  <c r="R91" i="10" s="1"/>
  <c r="S91" i="10"/>
  <c r="O32" i="10"/>
  <c r="R32" i="10" s="1"/>
  <c r="S32" i="10"/>
  <c r="O44" i="10"/>
  <c r="R44" i="10" s="1"/>
  <c r="S44" i="10"/>
  <c r="O55" i="10"/>
  <c r="R55" i="10" s="1"/>
  <c r="S55" i="10"/>
  <c r="O121" i="10"/>
  <c r="R121" i="10" s="1"/>
  <c r="S121" i="10"/>
  <c r="O92" i="10"/>
  <c r="R92" i="10" s="1"/>
  <c r="S92" i="10"/>
  <c r="O75" i="10"/>
  <c r="R75" i="10" s="1"/>
  <c r="S75" i="10"/>
  <c r="O30" i="10"/>
  <c r="R30" i="10" s="1"/>
  <c r="S30" i="10"/>
  <c r="O17" i="10"/>
  <c r="R17" i="10" s="1"/>
  <c r="S17" i="10"/>
  <c r="O43" i="10"/>
  <c r="R43" i="10" s="1"/>
  <c r="S43" i="10"/>
  <c r="O85" i="10"/>
  <c r="R85" i="10" s="1"/>
  <c r="S85" i="10"/>
  <c r="O80" i="10"/>
  <c r="R80" i="10" s="1"/>
  <c r="S80" i="10"/>
  <c r="O41" i="10"/>
  <c r="R41" i="10" s="1"/>
  <c r="S41" i="10"/>
  <c r="O46" i="10"/>
  <c r="R46" i="10" s="1"/>
  <c r="S46" i="10"/>
  <c r="O82" i="10"/>
  <c r="R82" i="10" s="1"/>
  <c r="S82" i="10"/>
  <c r="O81" i="10"/>
  <c r="R81" i="10" s="1"/>
  <c r="S81" i="10"/>
  <c r="J108" i="10"/>
  <c r="S108" i="10"/>
  <c r="O118" i="10"/>
  <c r="R118" i="10" s="1"/>
  <c r="S118" i="10"/>
  <c r="O94" i="10"/>
  <c r="R94" i="10" s="1"/>
  <c r="S94" i="10"/>
  <c r="O79" i="10"/>
  <c r="R79" i="10" s="1"/>
  <c r="S79" i="10"/>
  <c r="O33" i="10"/>
  <c r="R33" i="10" s="1"/>
  <c r="S33" i="10"/>
  <c r="O52" i="10"/>
  <c r="R52" i="10" s="1"/>
  <c r="S52" i="10"/>
  <c r="O28" i="10"/>
  <c r="R28" i="10" s="1"/>
  <c r="S28" i="10"/>
  <c r="O14" i="10"/>
  <c r="R14" i="10" s="1"/>
  <c r="S14" i="10"/>
  <c r="O84" i="10"/>
  <c r="R84" i="10" s="1"/>
  <c r="S84" i="10"/>
  <c r="O12" i="10"/>
  <c r="R12" i="10" s="1"/>
  <c r="S12" i="10"/>
  <c r="O58" i="10"/>
  <c r="R58" i="10" s="1"/>
  <c r="S58" i="10"/>
  <c r="O49" i="10"/>
  <c r="R49" i="10" s="1"/>
  <c r="S49" i="10"/>
  <c r="O18" i="10"/>
  <c r="R18" i="10" s="1"/>
  <c r="S18" i="10"/>
  <c r="O88" i="10"/>
  <c r="R88" i="10" s="1"/>
  <c r="S88" i="10"/>
  <c r="O83" i="10"/>
  <c r="R83" i="10" s="1"/>
  <c r="S83" i="10"/>
  <c r="O97" i="10"/>
  <c r="R97" i="10" s="1"/>
  <c r="S97" i="10"/>
  <c r="O104" i="10"/>
  <c r="R104" i="10" s="1"/>
  <c r="S104" i="10"/>
  <c r="O110" i="10"/>
  <c r="R110" i="10" s="1"/>
  <c r="S110" i="10"/>
  <c r="O19" i="10"/>
  <c r="R19" i="10" s="1"/>
  <c r="S19" i="10"/>
  <c r="O15" i="10"/>
  <c r="R15" i="10" s="1"/>
  <c r="S15" i="10"/>
  <c r="O72" i="10"/>
  <c r="R72" i="10" s="1"/>
  <c r="S72" i="10"/>
  <c r="O16" i="10"/>
  <c r="R16" i="10" s="1"/>
  <c r="S16" i="10"/>
  <c r="O50" i="10"/>
  <c r="R50" i="10" s="1"/>
  <c r="S50" i="10"/>
  <c r="O13" i="10"/>
  <c r="R13" i="10" s="1"/>
  <c r="S13" i="10"/>
  <c r="O71" i="10"/>
  <c r="R71" i="10" s="1"/>
  <c r="S71" i="10"/>
  <c r="O51" i="10"/>
  <c r="R51" i="10" s="1"/>
  <c r="S51" i="10"/>
  <c r="O57" i="10"/>
  <c r="R57" i="10" s="1"/>
  <c r="S57" i="10"/>
  <c r="O96" i="10"/>
  <c r="R96" i="10" s="1"/>
  <c r="S96" i="10"/>
  <c r="O63" i="10"/>
  <c r="R63" i="10" s="1"/>
  <c r="S63" i="10"/>
  <c r="O29" i="10"/>
  <c r="R29" i="10" s="1"/>
  <c r="S29" i="10"/>
  <c r="O59" i="10"/>
  <c r="R59" i="10" s="1"/>
  <c r="S59" i="10"/>
  <c r="O37" i="10"/>
  <c r="R37" i="10" s="1"/>
  <c r="S37" i="10"/>
  <c r="O112" i="10"/>
  <c r="R112" i="10" s="1"/>
  <c r="S112" i="10"/>
  <c r="O103" i="10"/>
  <c r="R103" i="10" s="1"/>
  <c r="S103" i="10"/>
  <c r="K114" i="10"/>
  <c r="S114" i="10"/>
  <c r="H113" i="10"/>
  <c r="O113" i="10"/>
  <c r="R113" i="10" s="1"/>
  <c r="O11" i="10"/>
  <c r="R11" i="10" s="1"/>
  <c r="H125" i="10"/>
  <c r="O125" i="10"/>
  <c r="R125" i="10" s="1"/>
  <c r="G124" i="10"/>
  <c r="O124" i="10"/>
  <c r="R124" i="10" s="1"/>
  <c r="H116" i="10"/>
  <c r="O116" i="10"/>
  <c r="R116" i="10" s="1"/>
  <c r="J115" i="10"/>
  <c r="O115" i="10"/>
  <c r="R115" i="10" s="1"/>
  <c r="L106" i="10"/>
  <c r="O106" i="10"/>
  <c r="R106" i="10" s="1"/>
  <c r="L117" i="10"/>
  <c r="O117" i="10"/>
  <c r="R117" i="10" s="1"/>
  <c r="L120" i="10"/>
  <c r="O120" i="10"/>
  <c r="R120" i="10" s="1"/>
  <c r="L108" i="10"/>
  <c r="O108" i="10"/>
  <c r="R108" i="10" s="1"/>
  <c r="L109" i="10"/>
  <c r="O109" i="10"/>
  <c r="R109" i="10" s="1"/>
  <c r="G98" i="10"/>
  <c r="O98" i="10"/>
  <c r="R98" i="10" s="1"/>
  <c r="I123" i="10"/>
  <c r="O123" i="10"/>
  <c r="R123" i="10" s="1"/>
  <c r="G107" i="10"/>
  <c r="O107" i="10"/>
  <c r="R107" i="10" s="1"/>
  <c r="I114" i="10"/>
  <c r="O114" i="10"/>
  <c r="R114" i="10" s="1"/>
  <c r="G109" i="10"/>
  <c r="J123" i="10"/>
  <c r="J120" i="10"/>
  <c r="H120" i="10"/>
  <c r="K117" i="10"/>
  <c r="I109" i="10"/>
  <c r="J109" i="10"/>
  <c r="G123" i="10"/>
  <c r="G120" i="10"/>
  <c r="I120" i="10"/>
  <c r="L113" i="10"/>
  <c r="I113" i="10"/>
  <c r="K106" i="10"/>
  <c r="I108" i="10"/>
  <c r="L114" i="10"/>
  <c r="H106" i="10"/>
  <c r="I117" i="10"/>
  <c r="J113" i="10"/>
  <c r="L116" i="10"/>
  <c r="L115" i="10"/>
  <c r="K116" i="10"/>
  <c r="N53" i="10"/>
  <c r="N12" i="10"/>
  <c r="N75" i="10"/>
  <c r="N66" i="10"/>
  <c r="N78" i="10"/>
  <c r="N51" i="10"/>
  <c r="N43" i="10"/>
  <c r="N23" i="10"/>
  <c r="N70" i="10"/>
  <c r="N68" i="10"/>
  <c r="N18" i="10"/>
  <c r="G91" i="10"/>
  <c r="N91" i="10"/>
  <c r="N77" i="10"/>
  <c r="N11" i="10"/>
  <c r="N83" i="10"/>
  <c r="N55" i="10"/>
  <c r="N50" i="10"/>
  <c r="N19" i="10"/>
  <c r="N60" i="10"/>
  <c r="N58" i="10"/>
  <c r="N73" i="10"/>
  <c r="N42" i="10"/>
  <c r="G63" i="10"/>
  <c r="N63" i="10"/>
  <c r="H41" i="10"/>
  <c r="N41" i="10"/>
  <c r="N65" i="10"/>
  <c r="N38" i="10"/>
  <c r="N37" i="10"/>
  <c r="N81" i="10"/>
  <c r="N52" i="10"/>
  <c r="N88" i="10"/>
  <c r="N32" i="10"/>
  <c r="H34" i="10"/>
  <c r="N34" i="10"/>
  <c r="H35" i="10"/>
  <c r="N35" i="10"/>
  <c r="N90" i="10"/>
  <c r="N26" i="10"/>
  <c r="N30" i="10"/>
  <c r="N79" i="10"/>
  <c r="N33" i="10"/>
  <c r="N93" i="10"/>
  <c r="N36" i="10"/>
  <c r="N57" i="10"/>
  <c r="N85" i="10"/>
  <c r="N86" i="10"/>
  <c r="N72" i="10"/>
  <c r="N56" i="10"/>
  <c r="N14" i="10"/>
  <c r="N71" i="10"/>
  <c r="N17" i="10"/>
  <c r="N62" i="10"/>
  <c r="N15" i="10"/>
  <c r="N49" i="10"/>
  <c r="N69" i="10"/>
  <c r="N29" i="10"/>
  <c r="H46" i="10"/>
  <c r="N46" i="10"/>
  <c r="N89" i="10"/>
  <c r="H27" i="10"/>
  <c r="N27" i="10"/>
  <c r="N48" i="10"/>
  <c r="N39" i="10"/>
  <c r="N20" i="10"/>
  <c r="N76" i="10"/>
  <c r="N16" i="10"/>
  <c r="N84" i="10"/>
  <c r="N92" i="10"/>
  <c r="N28" i="10"/>
  <c r="N13" i="10"/>
  <c r="N24" i="10"/>
  <c r="N54" i="10"/>
  <c r="N67" i="10"/>
  <c r="N61" i="10"/>
  <c r="G40" i="10"/>
  <c r="N40" i="10"/>
  <c r="N45" i="10"/>
  <c r="N44" i="10"/>
  <c r="N31" i="10"/>
  <c r="N87" i="10"/>
  <c r="N21" i="10"/>
  <c r="N25" i="10"/>
  <c r="N74" i="10"/>
  <c r="N80" i="10"/>
  <c r="N64" i="10"/>
  <c r="G22" i="10"/>
  <c r="N22" i="10"/>
  <c r="G59" i="10"/>
  <c r="N59" i="10"/>
  <c r="G82" i="10"/>
  <c r="N82" i="10"/>
  <c r="H47" i="10"/>
  <c r="N47" i="10"/>
  <c r="M98" i="10"/>
  <c r="N98" i="10"/>
  <c r="J98" i="10"/>
  <c r="M103" i="10"/>
  <c r="N103" i="10"/>
  <c r="K107" i="10"/>
  <c r="N107" i="10"/>
  <c r="M107" i="10"/>
  <c r="K98" i="10"/>
  <c r="J107" i="10"/>
  <c r="N102" i="10"/>
  <c r="M102" i="10"/>
  <c r="M119" i="10"/>
  <c r="N119" i="10"/>
  <c r="M111" i="10"/>
  <c r="N111" i="10"/>
  <c r="L99" i="10"/>
  <c r="M99" i="10"/>
  <c r="N99" i="10"/>
  <c r="H114" i="10"/>
  <c r="N105" i="10"/>
  <c r="M105" i="10"/>
  <c r="M122" i="10"/>
  <c r="N122" i="10"/>
  <c r="M101" i="10"/>
  <c r="N101" i="10"/>
  <c r="K113" i="10"/>
  <c r="N113" i="10"/>
  <c r="M113" i="10"/>
  <c r="N96" i="10"/>
  <c r="M96" i="10"/>
  <c r="G125" i="10"/>
  <c r="M125" i="10"/>
  <c r="N125" i="10"/>
  <c r="M100" i="10"/>
  <c r="N100" i="10"/>
  <c r="L124" i="10"/>
  <c r="M124" i="10"/>
  <c r="N124" i="10"/>
  <c r="N94" i="10"/>
  <c r="N116" i="10"/>
  <c r="M116" i="10"/>
  <c r="K115" i="10"/>
  <c r="M115" i="10"/>
  <c r="N115" i="10"/>
  <c r="J106" i="10"/>
  <c r="M106" i="10"/>
  <c r="N106" i="10"/>
  <c r="H117" i="10"/>
  <c r="M117" i="10"/>
  <c r="N117" i="10"/>
  <c r="L98" i="10"/>
  <c r="H98" i="10"/>
  <c r="M121" i="10"/>
  <c r="N121" i="10"/>
  <c r="K109" i="10"/>
  <c r="N109" i="10"/>
  <c r="M109" i="10"/>
  <c r="L123" i="10"/>
  <c r="M123" i="10"/>
  <c r="N123" i="10"/>
  <c r="N120" i="10"/>
  <c r="M120" i="10"/>
  <c r="I98" i="10"/>
  <c r="K123" i="10"/>
  <c r="G108" i="10"/>
  <c r="M108" i="10"/>
  <c r="N108" i="10"/>
  <c r="G118" i="10"/>
  <c r="N118" i="10"/>
  <c r="M118" i="10"/>
  <c r="H97" i="10"/>
  <c r="M97" i="10"/>
  <c r="N97" i="10"/>
  <c r="M104" i="10"/>
  <c r="N104" i="10"/>
  <c r="M110" i="10"/>
  <c r="N110" i="10"/>
  <c r="M95" i="10"/>
  <c r="N95" i="10"/>
  <c r="M112" i="10"/>
  <c r="N112" i="10"/>
  <c r="J114" i="10"/>
  <c r="M114" i="10"/>
  <c r="N114" i="10"/>
  <c r="H109" i="10"/>
  <c r="H123" i="10"/>
  <c r="K120" i="10"/>
  <c r="H108" i="10"/>
  <c r="H107" i="10"/>
  <c r="L107" i="10"/>
  <c r="K108" i="10"/>
  <c r="I107" i="10"/>
  <c r="G113" i="10"/>
  <c r="I111" i="10"/>
  <c r="J111" i="10"/>
  <c r="K111" i="10"/>
  <c r="H111" i="10"/>
  <c r="I99" i="10"/>
  <c r="I106" i="10"/>
  <c r="I115" i="10"/>
  <c r="G111" i="10"/>
  <c r="I116" i="10"/>
  <c r="I125" i="10"/>
  <c r="G115" i="10"/>
  <c r="K124" i="10"/>
  <c r="J125" i="10"/>
  <c r="J99" i="10"/>
  <c r="J117" i="10"/>
  <c r="G106" i="10"/>
  <c r="H115" i="10"/>
  <c r="L111" i="10"/>
  <c r="I124" i="10"/>
  <c r="J116" i="10"/>
  <c r="H124" i="10"/>
  <c r="K125" i="10"/>
  <c r="J124" i="10"/>
  <c r="L125" i="10"/>
  <c r="G117" i="10"/>
  <c r="G116" i="10"/>
  <c r="G99" i="10"/>
  <c r="J110" i="10"/>
  <c r="K110" i="10"/>
  <c r="I110" i="10"/>
  <c r="H110" i="10"/>
  <c r="G110" i="10"/>
  <c r="L110" i="10"/>
  <c r="H99" i="10"/>
  <c r="K99" i="10"/>
  <c r="H104" i="10"/>
  <c r="G104" i="10"/>
  <c r="I104" i="10"/>
  <c r="J104" i="10"/>
  <c r="L104" i="10"/>
  <c r="K104" i="10"/>
  <c r="J100" i="10"/>
  <c r="L100" i="10"/>
  <c r="I100" i="10"/>
  <c r="H100" i="10"/>
  <c r="G100" i="10"/>
  <c r="K100" i="10"/>
  <c r="I121" i="10"/>
  <c r="H121" i="10"/>
  <c r="G121" i="10"/>
  <c r="L121" i="10"/>
  <c r="J121" i="10"/>
  <c r="K121" i="10"/>
  <c r="G112" i="10"/>
  <c r="J112" i="10"/>
  <c r="H112" i="10"/>
  <c r="L112" i="10"/>
  <c r="I112" i="10"/>
  <c r="K112" i="10"/>
  <c r="L103" i="10"/>
  <c r="K103" i="10"/>
  <c r="J103" i="10"/>
  <c r="I103" i="10"/>
  <c r="G103" i="10"/>
  <c r="H103" i="10"/>
  <c r="J102" i="10"/>
  <c r="I102" i="10"/>
  <c r="K102" i="10"/>
  <c r="H102" i="10"/>
  <c r="L102" i="10"/>
  <c r="G102" i="10"/>
  <c r="J119" i="10"/>
  <c r="I119" i="10"/>
  <c r="L119" i="10"/>
  <c r="K119" i="10"/>
  <c r="G119" i="10"/>
  <c r="H119" i="10"/>
  <c r="H105" i="10"/>
  <c r="G105" i="10"/>
  <c r="K105" i="10"/>
  <c r="L105" i="10"/>
  <c r="I105" i="10"/>
  <c r="J105" i="10"/>
  <c r="L122" i="10"/>
  <c r="I122" i="10"/>
  <c r="G122" i="10"/>
  <c r="H122" i="10"/>
  <c r="K122" i="10"/>
  <c r="J122" i="10"/>
  <c r="J118" i="10"/>
  <c r="G101" i="10"/>
  <c r="I101" i="10"/>
  <c r="I118" i="10"/>
  <c r="K101" i="10"/>
  <c r="L118" i="10"/>
  <c r="H118" i="10"/>
  <c r="L101" i="10"/>
  <c r="H101" i="10"/>
  <c r="K118" i="10"/>
  <c r="J101" i="10"/>
  <c r="G81" i="10"/>
  <c r="H81" i="10"/>
  <c r="H83" i="10"/>
  <c r="G31" i="10"/>
  <c r="H31" i="10"/>
  <c r="G83" i="10"/>
  <c r="H91" i="10"/>
  <c r="R105" i="18" s="1"/>
  <c r="G34" i="10"/>
  <c r="G32" i="10"/>
  <c r="G77" i="10"/>
  <c r="G47" i="10"/>
  <c r="H32" i="10"/>
  <c r="H64" i="10"/>
  <c r="G27" i="10"/>
  <c r="H37" i="10"/>
  <c r="H38" i="10"/>
  <c r="G38" i="10"/>
  <c r="H86" i="10"/>
  <c r="G86" i="10"/>
  <c r="H22" i="10"/>
  <c r="G64" i="10"/>
  <c r="G97" i="10"/>
  <c r="G41" i="10"/>
  <c r="G11" i="10"/>
  <c r="H11" i="10"/>
  <c r="H77" i="10"/>
  <c r="H40" i="10"/>
  <c r="G37" i="10"/>
  <c r="H59" i="10"/>
  <c r="G35" i="10"/>
  <c r="H18" i="10"/>
  <c r="G18" i="10"/>
  <c r="K97" i="10"/>
  <c r="L97" i="10"/>
  <c r="G46" i="10"/>
  <c r="H63" i="10"/>
  <c r="I97" i="10"/>
  <c r="H82" i="10"/>
  <c r="J97" i="10"/>
  <c r="G94" i="10"/>
  <c r="H94" i="10"/>
  <c r="H12" i="10"/>
  <c r="G12" i="10"/>
  <c r="L416" i="10"/>
  <c r="L398" i="10"/>
  <c r="L397" i="10"/>
  <c r="L402" i="10"/>
  <c r="L372" i="10"/>
  <c r="L363" i="10"/>
  <c r="K296" i="10"/>
  <c r="O296" i="10" s="1"/>
  <c r="L364" i="10"/>
  <c r="K290" i="10"/>
  <c r="O290" i="10" s="1"/>
  <c r="L356" i="10"/>
  <c r="K333" i="10"/>
  <c r="O333" i="10" s="1"/>
  <c r="K265" i="10"/>
  <c r="O265" i="10" s="1"/>
  <c r="K338" i="10"/>
  <c r="O338" i="10" s="1"/>
  <c r="K250" i="10"/>
  <c r="O250" i="10" s="1"/>
  <c r="K342" i="10"/>
  <c r="O342" i="10" s="1"/>
  <c r="K259" i="10"/>
  <c r="O259" i="10" s="1"/>
  <c r="L360" i="10"/>
  <c r="L396" i="10"/>
  <c r="K258" i="10"/>
  <c r="O258" i="10" s="1"/>
  <c r="L371" i="10"/>
  <c r="K231" i="10"/>
  <c r="O231" i="10" s="1"/>
  <c r="K225" i="10"/>
  <c r="O225" i="10" s="1"/>
  <c r="K272" i="10"/>
  <c r="O272" i="10" s="1"/>
  <c r="K257" i="10"/>
  <c r="O257" i="10" s="1"/>
  <c r="K233" i="10"/>
  <c r="O233" i="10" s="1"/>
  <c r="K203" i="10"/>
  <c r="O203" i="10" s="1"/>
  <c r="L410" i="10"/>
  <c r="K336" i="10"/>
  <c r="O336" i="10" s="1"/>
  <c r="K206" i="10"/>
  <c r="O206" i="10" s="1"/>
  <c r="K280" i="10"/>
  <c r="O280" i="10" s="1"/>
  <c r="K248" i="10"/>
  <c r="O248" i="10" s="1"/>
  <c r="L409" i="10"/>
  <c r="L390" i="10"/>
  <c r="L389" i="10"/>
  <c r="L394" i="10"/>
  <c r="L367" i="10"/>
  <c r="L358" i="10"/>
  <c r="K293" i="10"/>
  <c r="O293" i="10" s="1"/>
  <c r="L357" i="10"/>
  <c r="K282" i="10"/>
  <c r="O282" i="10" s="1"/>
  <c r="L385" i="10"/>
  <c r="K320" i="10"/>
  <c r="O320" i="10" s="1"/>
  <c r="K339" i="10"/>
  <c r="O339" i="10" s="1"/>
  <c r="K307" i="10"/>
  <c r="O307" i="10" s="1"/>
  <c r="K237" i="10"/>
  <c r="O237" i="10" s="1"/>
  <c r="K337" i="10"/>
  <c r="O337" i="10" s="1"/>
  <c r="K256" i="10"/>
  <c r="O256" i="10" s="1"/>
  <c r="K326" i="10"/>
  <c r="O326" i="10" s="1"/>
  <c r="L376" i="10"/>
  <c r="K245" i="10"/>
  <c r="O245" i="10" s="1"/>
  <c r="K345" i="10"/>
  <c r="O345" i="10" s="1"/>
  <c r="K216" i="10"/>
  <c r="O216" i="10" s="1"/>
  <c r="K220" i="10"/>
  <c r="O220" i="10" s="1"/>
  <c r="K260" i="10"/>
  <c r="O260" i="10" s="1"/>
  <c r="K247" i="10"/>
  <c r="O247" i="10" s="1"/>
  <c r="K223" i="10"/>
  <c r="O223" i="10" s="1"/>
  <c r="H2" i="10"/>
  <c r="K228" i="10"/>
  <c r="O228" i="10" s="1"/>
  <c r="L413" i="10"/>
  <c r="L403" i="10"/>
  <c r="K276" i="10"/>
  <c r="O276" i="10" s="1"/>
  <c r="K215" i="10"/>
  <c r="O215" i="10" s="1"/>
  <c r="K235" i="10"/>
  <c r="O235" i="10" s="1"/>
  <c r="K232" i="10"/>
  <c r="O232" i="10" s="1"/>
  <c r="K309" i="10"/>
  <c r="O309" i="10" s="1"/>
  <c r="K253" i="10"/>
  <c r="O253" i="10" s="1"/>
  <c r="K261" i="10"/>
  <c r="O261" i="10" s="1"/>
  <c r="K222" i="10"/>
  <c r="O222" i="10" s="1"/>
  <c r="L408" i="10"/>
  <c r="L382" i="10"/>
  <c r="L381" i="10"/>
  <c r="L386" i="10"/>
  <c r="L392" i="10"/>
  <c r="K344" i="10"/>
  <c r="O344" i="10" s="1"/>
  <c r="K285" i="10"/>
  <c r="O285" i="10" s="1"/>
  <c r="K334" i="10"/>
  <c r="O334" i="10" s="1"/>
  <c r="K274" i="10"/>
  <c r="O274" i="10" s="1"/>
  <c r="L380" i="10"/>
  <c r="K317" i="10"/>
  <c r="O317" i="10" s="1"/>
  <c r="K329" i="10"/>
  <c r="O329" i="10" s="1"/>
  <c r="K297" i="10"/>
  <c r="O297" i="10" s="1"/>
  <c r="K234" i="10"/>
  <c r="O234" i="10" s="1"/>
  <c r="K332" i="10"/>
  <c r="O332" i="10" s="1"/>
  <c r="K243" i="10"/>
  <c r="O243" i="10" s="1"/>
  <c r="K321" i="10"/>
  <c r="O321" i="10" s="1"/>
  <c r="L361" i="10"/>
  <c r="K242" i="10"/>
  <c r="O242" i="10" s="1"/>
  <c r="K324" i="10"/>
  <c r="O324" i="10" s="1"/>
  <c r="K201" i="10"/>
  <c r="O201" i="10" s="1"/>
  <c r="K208" i="10"/>
  <c r="O208" i="10" s="1"/>
  <c r="K249" i="10"/>
  <c r="O249" i="10" s="1"/>
  <c r="K209" i="10"/>
  <c r="O209" i="10" s="1"/>
  <c r="K214" i="10"/>
  <c r="O214" i="10" s="1"/>
  <c r="K262" i="10"/>
  <c r="O262" i="10" s="1"/>
  <c r="H3" i="10"/>
  <c r="L411" i="10"/>
  <c r="K302" i="10"/>
  <c r="O302" i="10" s="1"/>
  <c r="K204" i="10"/>
  <c r="O204" i="10" s="1"/>
  <c r="K205" i="10"/>
  <c r="O205" i="10" s="1"/>
  <c r="K254" i="10"/>
  <c r="O254" i="10" s="1"/>
  <c r="L405" i="10"/>
  <c r="L377" i="10"/>
  <c r="K299" i="10"/>
  <c r="O299" i="10" s="1"/>
  <c r="L391" i="10"/>
  <c r="L359" i="10"/>
  <c r="K271" i="10"/>
  <c r="O271" i="10" s="1"/>
  <c r="L417" i="10"/>
  <c r="L374" i="10"/>
  <c r="L373" i="10"/>
  <c r="L378" i="10"/>
  <c r="L387" i="10"/>
  <c r="K341" i="10"/>
  <c r="O341" i="10" s="1"/>
  <c r="K277" i="10"/>
  <c r="O277" i="10" s="1"/>
  <c r="K331" i="10"/>
  <c r="O331" i="10" s="1"/>
  <c r="K266" i="10"/>
  <c r="O266" i="10" s="1"/>
  <c r="L375" i="10"/>
  <c r="K304" i="10"/>
  <c r="O304" i="10" s="1"/>
  <c r="K319" i="10"/>
  <c r="O319" i="10" s="1"/>
  <c r="K292" i="10"/>
  <c r="O292" i="10" s="1"/>
  <c r="K221" i="10"/>
  <c r="O221" i="10" s="1"/>
  <c r="K327" i="10"/>
  <c r="O327" i="10" s="1"/>
  <c r="K240" i="10"/>
  <c r="O240" i="10" s="1"/>
  <c r="K316" i="10"/>
  <c r="O316" i="10" s="1"/>
  <c r="K353" i="10"/>
  <c r="N353" i="10" s="1"/>
  <c r="K229" i="10"/>
  <c r="O229" i="10" s="1"/>
  <c r="K305" i="10"/>
  <c r="O305" i="10" s="1"/>
  <c r="L355" i="10"/>
  <c r="K303" i="10"/>
  <c r="O303" i="10" s="1"/>
  <c r="K239" i="10"/>
  <c r="O239" i="10" s="1"/>
  <c r="K202" i="10"/>
  <c r="O202" i="10" s="1"/>
  <c r="K252" i="10"/>
  <c r="O252" i="10" s="1"/>
  <c r="K286" i="10"/>
  <c r="O286" i="10" s="1"/>
  <c r="K217" i="10"/>
  <c r="O217" i="10" s="1"/>
  <c r="L412" i="10"/>
  <c r="L354" i="10"/>
  <c r="K283" i="10"/>
  <c r="O283" i="10" s="1"/>
  <c r="K300" i="10"/>
  <c r="O300" i="10" s="1"/>
  <c r="K273" i="10"/>
  <c r="O273" i="10" s="1"/>
  <c r="K236" i="10"/>
  <c r="O236" i="10" s="1"/>
  <c r="L415" i="10"/>
  <c r="L366" i="10"/>
  <c r="L365" i="10"/>
  <c r="L370" i="10"/>
  <c r="L393" i="10"/>
  <c r="K328" i="10"/>
  <c r="O328" i="10" s="1"/>
  <c r="K269" i="10"/>
  <c r="O269" i="10" s="1"/>
  <c r="K318" i="10"/>
  <c r="O318" i="10" s="1"/>
  <c r="L404" i="10"/>
  <c r="L400" i="10"/>
  <c r="K301" i="10"/>
  <c r="O301" i="10" s="1"/>
  <c r="K308" i="10"/>
  <c r="O308" i="10" s="1"/>
  <c r="K288" i="10"/>
  <c r="O288" i="10" s="1"/>
  <c r="K218" i="10"/>
  <c r="O218" i="10" s="1"/>
  <c r="K322" i="10"/>
  <c r="O322" i="10" s="1"/>
  <c r="K227" i="10"/>
  <c r="O227" i="10" s="1"/>
  <c r="K311" i="10"/>
  <c r="O311" i="10" s="1"/>
  <c r="K340" i="10"/>
  <c r="O340" i="10" s="1"/>
  <c r="K226" i="10"/>
  <c r="O226" i="10" s="1"/>
  <c r="K251" i="10"/>
  <c r="O251" i="10" s="1"/>
  <c r="K323" i="10"/>
  <c r="O323" i="10" s="1"/>
  <c r="K255" i="10"/>
  <c r="O255" i="10" s="1"/>
  <c r="K211" i="10"/>
  <c r="O211" i="10" s="1"/>
  <c r="K335" i="10"/>
  <c r="O335" i="10" s="1"/>
  <c r="K295" i="10"/>
  <c r="O295" i="10" s="1"/>
  <c r="K238" i="10"/>
  <c r="O238" i="10" s="1"/>
  <c r="K313" i="10"/>
  <c r="O313" i="10" s="1"/>
  <c r="L414" i="10"/>
  <c r="K312" i="10"/>
  <c r="O312" i="10" s="1"/>
  <c r="L384" i="10"/>
  <c r="K275" i="10"/>
  <c r="O275" i="10" s="1"/>
  <c r="K294" i="10"/>
  <c r="O294" i="10" s="1"/>
  <c r="K284" i="10"/>
  <c r="O284" i="10" s="1"/>
  <c r="L369" i="10"/>
  <c r="K270" i="10"/>
  <c r="O270" i="10" s="1"/>
  <c r="K230" i="10"/>
  <c r="O230" i="10" s="1"/>
  <c r="K244" i="10"/>
  <c r="O244" i="10" s="1"/>
  <c r="L407" i="10"/>
  <c r="K348" i="10"/>
  <c r="K349" i="10"/>
  <c r="L362" i="10"/>
  <c r="L388" i="10"/>
  <c r="K325" i="10"/>
  <c r="O325" i="10" s="1"/>
  <c r="K264" i="10"/>
  <c r="O264" i="10" s="1"/>
  <c r="K315" i="10"/>
  <c r="O315" i="10" s="1"/>
  <c r="L399" i="10"/>
  <c r="L395" i="10"/>
  <c r="K289" i="10"/>
  <c r="O289" i="10" s="1"/>
  <c r="K298" i="10"/>
  <c r="O298" i="10" s="1"/>
  <c r="K279" i="10"/>
  <c r="O279" i="10" s="1"/>
  <c r="K213" i="10"/>
  <c r="O213" i="10" s="1"/>
  <c r="K287" i="10"/>
  <c r="O287" i="10" s="1"/>
  <c r="K224" i="10"/>
  <c r="O224" i="10" s="1"/>
  <c r="K306" i="10"/>
  <c r="O306" i="10" s="1"/>
  <c r="K330" i="10"/>
  <c r="O330" i="10" s="1"/>
  <c r="K212" i="10"/>
  <c r="O212" i="10" s="1"/>
  <c r="K246" i="10"/>
  <c r="O246" i="10" s="1"/>
  <c r="K267" i="10"/>
  <c r="O267" i="10" s="1"/>
  <c r="K219" i="10"/>
  <c r="O219" i="10" s="1"/>
  <c r="K207" i="10"/>
  <c r="O207" i="10" s="1"/>
  <c r="K278" i="10"/>
  <c r="O278" i="10" s="1"/>
  <c r="K263" i="10"/>
  <c r="O263" i="10" s="1"/>
  <c r="L401" i="10"/>
  <c r="K210" i="10"/>
  <c r="O210" i="10" s="1"/>
  <c r="L383" i="10"/>
  <c r="K281" i="10"/>
  <c r="O281" i="10" s="1"/>
  <c r="K291" i="10"/>
  <c r="O291" i="10" s="1"/>
  <c r="K241" i="10"/>
  <c r="O241" i="10" s="1"/>
  <c r="K314" i="10"/>
  <c r="O314" i="10" s="1"/>
  <c r="L406" i="10"/>
  <c r="L368" i="10"/>
  <c r="L379" i="10"/>
  <c r="K343" i="10"/>
  <c r="O343" i="10" s="1"/>
  <c r="K310" i="10"/>
  <c r="O310" i="10" s="1"/>
  <c r="K268" i="10"/>
  <c r="O268" i="10" s="1"/>
  <c r="G70" i="10"/>
  <c r="H70" i="10"/>
  <c r="H76" i="10"/>
  <c r="G76" i="10"/>
  <c r="H85" i="10"/>
  <c r="G85" i="10"/>
  <c r="H51" i="10"/>
  <c r="G51" i="10"/>
  <c r="H50" i="10"/>
  <c r="G50" i="10"/>
  <c r="H62" i="10"/>
  <c r="G62" i="10"/>
  <c r="H49" i="10"/>
  <c r="G49" i="10"/>
  <c r="H87" i="10"/>
  <c r="G87" i="10"/>
  <c r="H75" i="10"/>
  <c r="G75" i="10"/>
  <c r="H92" i="10"/>
  <c r="R106" i="18" s="1"/>
  <c r="G92" i="10"/>
  <c r="G15" i="10"/>
  <c r="H15" i="10"/>
  <c r="G74" i="10"/>
  <c r="H74" i="10"/>
  <c r="H19" i="10"/>
  <c r="G19" i="10"/>
  <c r="H71" i="10"/>
  <c r="G71" i="10"/>
  <c r="H67" i="10"/>
  <c r="G67" i="10"/>
  <c r="H96" i="10"/>
  <c r="I96" i="10" s="1"/>
  <c r="G96" i="10"/>
  <c r="H68" i="10"/>
  <c r="G68" i="10"/>
  <c r="H17" i="10"/>
  <c r="G17" i="10"/>
  <c r="G21" i="10"/>
  <c r="H21" i="10"/>
  <c r="H25" i="10"/>
  <c r="G25" i="10"/>
  <c r="H61" i="10"/>
  <c r="G61" i="10"/>
  <c r="H23" i="10"/>
  <c r="G23" i="10"/>
  <c r="H79" i="10"/>
  <c r="G79" i="10"/>
  <c r="H36" i="10"/>
  <c r="G36" i="10"/>
  <c r="H26" i="10"/>
  <c r="G26" i="10"/>
  <c r="H89" i="10"/>
  <c r="G89" i="10"/>
  <c r="G54" i="10"/>
  <c r="H54" i="10"/>
  <c r="H56" i="10"/>
  <c r="G56" i="10"/>
  <c r="H14" i="10"/>
  <c r="G14" i="10"/>
  <c r="H95" i="10"/>
  <c r="K95" i="10" s="1"/>
  <c r="G95" i="10"/>
  <c r="H29" i="10"/>
  <c r="G29" i="10"/>
  <c r="H48" i="10"/>
  <c r="G48" i="10"/>
  <c r="G53" i="10"/>
  <c r="H53" i="10"/>
  <c r="H55" i="10"/>
  <c r="G55" i="10"/>
  <c r="H69" i="10"/>
  <c r="G69" i="10"/>
  <c r="H28" i="10"/>
  <c r="G28" i="10"/>
  <c r="H65" i="10"/>
  <c r="G65" i="10"/>
  <c r="H20" i="10"/>
  <c r="G20" i="10"/>
  <c r="G24" i="10"/>
  <c r="H24" i="10"/>
  <c r="G78" i="10"/>
  <c r="H78" i="10"/>
  <c r="H45" i="10"/>
  <c r="G45" i="10"/>
  <c r="H80" i="10"/>
  <c r="G80" i="10"/>
  <c r="H60" i="10"/>
  <c r="G60" i="10"/>
  <c r="H33" i="10"/>
  <c r="G33" i="10"/>
  <c r="H39" i="10"/>
  <c r="G39" i="10"/>
  <c r="H73" i="10"/>
  <c r="G73" i="10"/>
  <c r="H42" i="10"/>
  <c r="G42" i="10"/>
  <c r="H43" i="10"/>
  <c r="G43" i="10"/>
  <c r="G16" i="10"/>
  <c r="H16" i="10"/>
  <c r="H84" i="10"/>
  <c r="G84" i="10"/>
  <c r="H44" i="10"/>
  <c r="G44" i="10"/>
  <c r="H58" i="10"/>
  <c r="G58" i="10"/>
  <c r="H88" i="10"/>
  <c r="G88" i="10"/>
  <c r="H52" i="10"/>
  <c r="G52" i="10"/>
  <c r="H72" i="10"/>
  <c r="G72" i="10"/>
  <c r="H13" i="10"/>
  <c r="G13" i="10"/>
  <c r="H30" i="10"/>
  <c r="G30" i="10"/>
  <c r="H93" i="10"/>
  <c r="R107" i="18" s="1"/>
  <c r="G93" i="10"/>
  <c r="H57" i="10"/>
  <c r="G57" i="10"/>
  <c r="G90" i="10"/>
  <c r="H90" i="10"/>
  <c r="H66" i="10"/>
  <c r="G66" i="10"/>
  <c r="M11" i="10" l="1"/>
  <c r="P114" i="10"/>
  <c r="Q114" i="10" s="1"/>
  <c r="P98" i="10"/>
  <c r="P120" i="10"/>
  <c r="P115" i="10"/>
  <c r="Q115" i="10" s="1"/>
  <c r="P125" i="10"/>
  <c r="Q125" i="10" s="1"/>
  <c r="P37" i="10"/>
  <c r="Q37" i="10" s="1"/>
  <c r="P63" i="10"/>
  <c r="Q63" i="10" s="1"/>
  <c r="P51" i="10"/>
  <c r="P50" i="10"/>
  <c r="Q50" i="10" s="1"/>
  <c r="P15" i="10"/>
  <c r="Q15" i="10" s="1"/>
  <c r="P104" i="10"/>
  <c r="Q104" i="10" s="1"/>
  <c r="P88" i="10"/>
  <c r="Q88" i="10" s="1"/>
  <c r="P58" i="10"/>
  <c r="Q58" i="10" s="1"/>
  <c r="P14" i="10"/>
  <c r="Q14" i="10" s="1"/>
  <c r="P33" i="10"/>
  <c r="Q33" i="10" s="1"/>
  <c r="P118" i="10"/>
  <c r="Q118" i="10" s="1"/>
  <c r="P82" i="10"/>
  <c r="Q82" i="10" s="1"/>
  <c r="P80" i="10"/>
  <c r="Q80" i="10" s="1"/>
  <c r="P17" i="10"/>
  <c r="P44" i="10"/>
  <c r="Q44" i="10" s="1"/>
  <c r="P68" i="10"/>
  <c r="Q68" i="10" s="1"/>
  <c r="P89" i="10"/>
  <c r="Q89" i="10" s="1"/>
  <c r="P74" i="10"/>
  <c r="Q74" i="10" s="1"/>
  <c r="P76" i="10"/>
  <c r="Q76" i="10" s="1"/>
  <c r="P60" i="10"/>
  <c r="Q60" i="10" s="1"/>
  <c r="P100" i="10"/>
  <c r="P77" i="10"/>
  <c r="Q77" i="10" s="1"/>
  <c r="P21" i="10"/>
  <c r="Q21" i="10" s="1"/>
  <c r="P24" i="10"/>
  <c r="Q24" i="10" s="1"/>
  <c r="P111" i="10"/>
  <c r="Q111" i="10" s="1"/>
  <c r="P45" i="10"/>
  <c r="Q45" i="10" s="1"/>
  <c r="P122" i="10"/>
  <c r="P38" i="10"/>
  <c r="P70" i="10"/>
  <c r="P87" i="10"/>
  <c r="Q87" i="10" s="1"/>
  <c r="P99" i="10"/>
  <c r="Q99" i="10" s="1"/>
  <c r="P107" i="10"/>
  <c r="Q107" i="10" s="1"/>
  <c r="P109" i="10"/>
  <c r="Q109" i="10" s="1"/>
  <c r="P117" i="10"/>
  <c r="Q117" i="10" s="1"/>
  <c r="P116" i="10"/>
  <c r="P11" i="10"/>
  <c r="P103" i="10"/>
  <c r="Q103" i="10" s="1"/>
  <c r="P59" i="10"/>
  <c r="Q59" i="10" s="1"/>
  <c r="P96" i="10"/>
  <c r="P71" i="10"/>
  <c r="Q71" i="10" s="1"/>
  <c r="P16" i="10"/>
  <c r="Q16" i="10" s="1"/>
  <c r="P19" i="10"/>
  <c r="Q19" i="10" s="1"/>
  <c r="P97" i="10"/>
  <c r="Q97" i="10" s="1"/>
  <c r="P18" i="10"/>
  <c r="P12" i="10"/>
  <c r="Q12" i="10" s="1"/>
  <c r="P28" i="10"/>
  <c r="Q28" i="10" s="1"/>
  <c r="P79" i="10"/>
  <c r="Q79" i="10" s="1"/>
  <c r="P46" i="10"/>
  <c r="Q46" i="10" s="1"/>
  <c r="P85" i="10"/>
  <c r="Q85" i="10" s="1"/>
  <c r="P30" i="10"/>
  <c r="Q30" i="10" s="1"/>
  <c r="P121" i="10"/>
  <c r="Q121" i="10" s="1"/>
  <c r="P32" i="10"/>
  <c r="Q32" i="10" s="1"/>
  <c r="P73" i="10"/>
  <c r="P66" i="10"/>
  <c r="Q66" i="10" s="1"/>
  <c r="P65" i="10"/>
  <c r="Q65" i="10" s="1"/>
  <c r="P23" i="10"/>
  <c r="Q23" i="10" s="1"/>
  <c r="P39" i="10"/>
  <c r="Q39" i="10" s="1"/>
  <c r="P25" i="10"/>
  <c r="Q25" i="10" s="1"/>
  <c r="P31" i="10"/>
  <c r="P40" i="10"/>
  <c r="Q40" i="10" s="1"/>
  <c r="P26" i="10"/>
  <c r="Q26" i="10" s="1"/>
  <c r="P119" i="10"/>
  <c r="P56" i="10"/>
  <c r="Q56" i="10" s="1"/>
  <c r="P105" i="10"/>
  <c r="Q105" i="10" s="1"/>
  <c r="P61" i="10"/>
  <c r="Q61" i="10" s="1"/>
  <c r="P95" i="10"/>
  <c r="Q95" i="10" s="1"/>
  <c r="P102" i="10"/>
  <c r="Q102" i="10" s="1"/>
  <c r="P113" i="10"/>
  <c r="Q113" i="10" s="1"/>
  <c r="P123" i="10"/>
  <c r="P108" i="10"/>
  <c r="Q108" i="10" s="1"/>
  <c r="P106" i="10"/>
  <c r="Q106" i="10" s="1"/>
  <c r="P124" i="10"/>
  <c r="Q124" i="10" s="1"/>
  <c r="P112" i="10"/>
  <c r="Q112" i="10" s="1"/>
  <c r="P29" i="10"/>
  <c r="Q29" i="10" s="1"/>
  <c r="P57" i="10"/>
  <c r="Q57" i="10" s="1"/>
  <c r="P13" i="10"/>
  <c r="Q13" i="10" s="1"/>
  <c r="P72" i="10"/>
  <c r="P110" i="10"/>
  <c r="Q110" i="10" s="1"/>
  <c r="P83" i="10"/>
  <c r="Q83" i="10" s="1"/>
  <c r="P49" i="10"/>
  <c r="Q49" i="10" s="1"/>
  <c r="P84" i="10"/>
  <c r="Q84" i="10" s="1"/>
  <c r="P52" i="10"/>
  <c r="Q52" i="10" s="1"/>
  <c r="P81" i="10"/>
  <c r="Q81" i="10" s="1"/>
  <c r="P41" i="10"/>
  <c r="Q41" i="10" s="1"/>
  <c r="P43" i="10"/>
  <c r="Q43" i="10" s="1"/>
  <c r="P75" i="10"/>
  <c r="Q75" i="10" s="1"/>
  <c r="P55" i="10"/>
  <c r="Q55" i="10" s="1"/>
  <c r="P91" i="10"/>
  <c r="Q91" i="10" s="1"/>
  <c r="P90" i="10"/>
  <c r="Q90" i="10" s="1"/>
  <c r="P47" i="10"/>
  <c r="Q47" i="10" s="1"/>
  <c r="P64" i="10"/>
  <c r="Q64" i="10" s="1"/>
  <c r="P67" i="10"/>
  <c r="Q67" i="10" s="1"/>
  <c r="P53" i="10"/>
  <c r="Q53" i="10" s="1"/>
  <c r="P54" i="10"/>
  <c r="Q54" i="10" s="1"/>
  <c r="P34" i="10"/>
  <c r="Q34" i="10" s="1"/>
  <c r="P42" i="10"/>
  <c r="Q42" i="10" s="1"/>
  <c r="P78" i="10"/>
  <c r="Q78" i="10" s="1"/>
  <c r="P20" i="10"/>
  <c r="Q20" i="10" s="1"/>
  <c r="P101" i="10"/>
  <c r="P27" i="10"/>
  <c r="Q27" i="10" s="1"/>
  <c r="P69" i="10"/>
  <c r="P36" i="10"/>
  <c r="Q36" i="10" s="1"/>
  <c r="P48" i="10"/>
  <c r="Q48" i="10" s="1"/>
  <c r="P86" i="10"/>
  <c r="Q86" i="10" s="1"/>
  <c r="P62" i="10"/>
  <c r="Q62" i="10" s="1"/>
  <c r="P22" i="10"/>
  <c r="Q22" i="10" s="1"/>
  <c r="P35" i="10"/>
  <c r="Q35" i="10" s="1"/>
  <c r="W12" i="10"/>
  <c r="W18" i="10"/>
  <c r="W13" i="10"/>
  <c r="W11" i="10"/>
  <c r="W14" i="10"/>
  <c r="W15" i="10"/>
  <c r="W16" i="10"/>
  <c r="W17" i="10"/>
  <c r="P94" i="10"/>
  <c r="P92" i="10"/>
  <c r="P93" i="10"/>
  <c r="M60" i="10"/>
  <c r="R74" i="18"/>
  <c r="M29" i="10"/>
  <c r="R43" i="18"/>
  <c r="L79" i="10"/>
  <c r="R93" i="18"/>
  <c r="M67" i="10"/>
  <c r="R81" i="18"/>
  <c r="I49" i="10"/>
  <c r="R63" i="18"/>
  <c r="J85" i="10"/>
  <c r="R99" i="18"/>
  <c r="K82" i="10"/>
  <c r="R96" i="18"/>
  <c r="M34" i="10"/>
  <c r="R48" i="18"/>
  <c r="M44" i="10"/>
  <c r="R58" i="18"/>
  <c r="M59" i="10"/>
  <c r="R73" i="18"/>
  <c r="J64" i="10"/>
  <c r="R78" i="18"/>
  <c r="M31" i="10"/>
  <c r="R45" i="18"/>
  <c r="M41" i="10"/>
  <c r="R55" i="18"/>
  <c r="L57" i="10"/>
  <c r="R71" i="18"/>
  <c r="K69" i="10"/>
  <c r="R83" i="18"/>
  <c r="M52" i="10"/>
  <c r="R66" i="18"/>
  <c r="J73" i="10"/>
  <c r="R87" i="18"/>
  <c r="M55" i="10"/>
  <c r="R69" i="18"/>
  <c r="M62" i="10"/>
  <c r="R76" i="18"/>
  <c r="K76" i="10"/>
  <c r="R90" i="18"/>
  <c r="L63" i="10"/>
  <c r="R77" i="18"/>
  <c r="M22" i="10"/>
  <c r="R36" i="18"/>
  <c r="I32" i="10"/>
  <c r="R46" i="18"/>
  <c r="M47" i="10"/>
  <c r="R61" i="18"/>
  <c r="M46" i="10"/>
  <c r="R60" i="18"/>
  <c r="M24" i="10"/>
  <c r="R38" i="18"/>
  <c r="M15" i="10"/>
  <c r="R29" i="18"/>
  <c r="K18" i="10"/>
  <c r="R32" i="18"/>
  <c r="M72" i="10"/>
  <c r="R86" i="18"/>
  <c r="M84" i="10"/>
  <c r="R98" i="18"/>
  <c r="J80" i="10"/>
  <c r="R94" i="18"/>
  <c r="L20" i="10"/>
  <c r="R34" i="18"/>
  <c r="J89" i="10"/>
  <c r="R103" i="18"/>
  <c r="M23" i="10"/>
  <c r="R37" i="18"/>
  <c r="M17" i="10"/>
  <c r="R31" i="18"/>
  <c r="L71" i="10"/>
  <c r="R85" i="18"/>
  <c r="L16" i="10"/>
  <c r="R30" i="18"/>
  <c r="J53" i="10"/>
  <c r="R67" i="18"/>
  <c r="M70" i="10"/>
  <c r="R84" i="18"/>
  <c r="J40" i="10"/>
  <c r="R54" i="18"/>
  <c r="L83" i="10"/>
  <c r="R97" i="18"/>
  <c r="M37" i="10"/>
  <c r="R51" i="18"/>
  <c r="L42" i="10"/>
  <c r="R56" i="18"/>
  <c r="K66" i="10"/>
  <c r="R80" i="18"/>
  <c r="I30" i="10"/>
  <c r="R44" i="18"/>
  <c r="L88" i="10"/>
  <c r="R102" i="18"/>
  <c r="L39" i="10"/>
  <c r="R53" i="18"/>
  <c r="L45" i="10"/>
  <c r="R59" i="18"/>
  <c r="K65" i="10"/>
  <c r="R79" i="18"/>
  <c r="I14" i="10"/>
  <c r="R28" i="18"/>
  <c r="L26" i="10"/>
  <c r="R40" i="18"/>
  <c r="I61" i="10"/>
  <c r="R75" i="18"/>
  <c r="I68" i="10"/>
  <c r="R82" i="18"/>
  <c r="M19" i="10"/>
  <c r="R33" i="18"/>
  <c r="M75" i="10"/>
  <c r="R89" i="18"/>
  <c r="J50" i="10"/>
  <c r="R64" i="18"/>
  <c r="L12" i="10"/>
  <c r="R26" i="18"/>
  <c r="M77" i="10"/>
  <c r="R91" i="18"/>
  <c r="M86" i="10"/>
  <c r="R100" i="18"/>
  <c r="M81" i="10"/>
  <c r="R95" i="18"/>
  <c r="M21" i="10"/>
  <c r="R35" i="18"/>
  <c r="L90" i="10"/>
  <c r="R104" i="18"/>
  <c r="M78" i="10"/>
  <c r="R92" i="18"/>
  <c r="L74" i="10"/>
  <c r="R88" i="18"/>
  <c r="K94" i="10"/>
  <c r="R108" i="18"/>
  <c r="R25" i="18"/>
  <c r="M27" i="10"/>
  <c r="R41" i="18"/>
  <c r="M35" i="10"/>
  <c r="R49" i="18"/>
  <c r="M54" i="10"/>
  <c r="R68" i="18"/>
  <c r="M13" i="10"/>
  <c r="R27" i="18"/>
  <c r="L58" i="10"/>
  <c r="R72" i="18"/>
  <c r="M43" i="10"/>
  <c r="R57" i="18"/>
  <c r="M33" i="10"/>
  <c r="R47" i="18"/>
  <c r="J28" i="10"/>
  <c r="R42" i="18"/>
  <c r="K48" i="10"/>
  <c r="R62" i="18"/>
  <c r="M56" i="10"/>
  <c r="R70" i="18"/>
  <c r="M36" i="10"/>
  <c r="R50" i="18"/>
  <c r="K25" i="10"/>
  <c r="R39" i="18"/>
  <c r="M87" i="10"/>
  <c r="R101" i="18"/>
  <c r="M51" i="10"/>
  <c r="R65" i="18"/>
  <c r="J38" i="10"/>
  <c r="R52" i="18"/>
  <c r="J34" i="10"/>
  <c r="L35" i="10"/>
  <c r="I35" i="10"/>
  <c r="K35" i="10"/>
  <c r="L46" i="10"/>
  <c r="K46" i="10"/>
  <c r="K47" i="10"/>
  <c r="J46" i="10"/>
  <c r="M92" i="10"/>
  <c r="J41" i="10"/>
  <c r="M93" i="10"/>
  <c r="M82" i="10"/>
  <c r="M73" i="10"/>
  <c r="L34" i="10"/>
  <c r="J47" i="10"/>
  <c r="K34" i="10"/>
  <c r="I47" i="10"/>
  <c r="I41" i="10"/>
  <c r="M30" i="10"/>
  <c r="L41" i="10"/>
  <c r="L47" i="10"/>
  <c r="I34" i="10"/>
  <c r="K41" i="10"/>
  <c r="M28" i="10"/>
  <c r="M94" i="10"/>
  <c r="M74" i="10"/>
  <c r="M83" i="10"/>
  <c r="Q51" i="10"/>
  <c r="I39" i="10"/>
  <c r="K27" i="10"/>
  <c r="M16" i="10"/>
  <c r="M20" i="10"/>
  <c r="M69" i="10"/>
  <c r="Q17" i="10"/>
  <c r="M14" i="10"/>
  <c r="M85" i="10"/>
  <c r="M88" i="10"/>
  <c r="M38" i="10"/>
  <c r="J27" i="10"/>
  <c r="M64" i="10"/>
  <c r="M45" i="10"/>
  <c r="M48" i="10"/>
  <c r="M26" i="10"/>
  <c r="M91" i="10"/>
  <c r="M68" i="10"/>
  <c r="M66" i="10"/>
  <c r="M12" i="10"/>
  <c r="M61" i="10"/>
  <c r="M39" i="10"/>
  <c r="M89" i="10"/>
  <c r="M57" i="10"/>
  <c r="M79" i="10"/>
  <c r="M32" i="10"/>
  <c r="M63" i="10"/>
  <c r="M42" i="10"/>
  <c r="M58" i="10"/>
  <c r="Q18" i="10"/>
  <c r="M53" i="10"/>
  <c r="Q31" i="10"/>
  <c r="I27" i="10"/>
  <c r="M49" i="10"/>
  <c r="M71" i="10"/>
  <c r="M65" i="10"/>
  <c r="Q73" i="10"/>
  <c r="Q70" i="10"/>
  <c r="M90" i="10"/>
  <c r="L27" i="10"/>
  <c r="M80" i="10"/>
  <c r="M25" i="10"/>
  <c r="M40" i="10"/>
  <c r="M76" i="10"/>
  <c r="Q69" i="10"/>
  <c r="Q72" i="10"/>
  <c r="Q38" i="10"/>
  <c r="M50" i="10"/>
  <c r="M18" i="10"/>
  <c r="Q120" i="10"/>
  <c r="Q122" i="10"/>
  <c r="Q123" i="10"/>
  <c r="Q119" i="10"/>
  <c r="Q116" i="10"/>
  <c r="Q101" i="10"/>
  <c r="Q98" i="10"/>
  <c r="Q100" i="10"/>
  <c r="Q96" i="10"/>
  <c r="J39" i="10"/>
  <c r="K39" i="10"/>
  <c r="L31" i="10"/>
  <c r="I83" i="10"/>
  <c r="J81" i="10"/>
  <c r="I81" i="10"/>
  <c r="K81" i="10"/>
  <c r="J31" i="10"/>
  <c r="K177" i="10"/>
  <c r="E16" i="18" s="1"/>
  <c r="K178" i="10"/>
  <c r="E17" i="18" s="1"/>
  <c r="K179" i="10"/>
  <c r="E18" i="18" s="1"/>
  <c r="K176" i="10"/>
  <c r="E15" i="18" s="1"/>
  <c r="L81" i="10"/>
  <c r="I31" i="10"/>
  <c r="L91" i="10"/>
  <c r="J83" i="10"/>
  <c r="K83" i="10"/>
  <c r="I37" i="10"/>
  <c r="I91" i="10"/>
  <c r="K31" i="10"/>
  <c r="J32" i="10"/>
  <c r="M3" i="10"/>
  <c r="L32" i="10"/>
  <c r="M2" i="10"/>
  <c r="K33" i="10"/>
  <c r="L72" i="10"/>
  <c r="I64" i="10"/>
  <c r="K32" i="10"/>
  <c r="J91" i="10"/>
  <c r="I46" i="10"/>
  <c r="L64" i="10"/>
  <c r="I36" i="10"/>
  <c r="I38" i="10"/>
  <c r="J65" i="10"/>
  <c r="J62" i="10"/>
  <c r="L37" i="10"/>
  <c r="K37" i="10"/>
  <c r="J18" i="10"/>
  <c r="K91" i="10"/>
  <c r="K64" i="10"/>
  <c r="J60" i="10"/>
  <c r="K63" i="10"/>
  <c r="J37" i="10"/>
  <c r="J63" i="10"/>
  <c r="I65" i="10"/>
  <c r="L55" i="10"/>
  <c r="L77" i="10"/>
  <c r="I63" i="10"/>
  <c r="J54" i="10"/>
  <c r="I22" i="10"/>
  <c r="K88" i="10"/>
  <c r="K22" i="10"/>
  <c r="L65" i="10"/>
  <c r="J67" i="10"/>
  <c r="L22" i="10"/>
  <c r="K77" i="10"/>
  <c r="I86" i="10"/>
  <c r="K60" i="10"/>
  <c r="J23" i="10"/>
  <c r="I18" i="10"/>
  <c r="J35" i="10"/>
  <c r="J22" i="10"/>
  <c r="J48" i="10"/>
  <c r="L11" i="10"/>
  <c r="L86" i="10"/>
  <c r="K38" i="10"/>
  <c r="L38" i="10"/>
  <c r="J42" i="10"/>
  <c r="L53" i="10"/>
  <c r="J74" i="10"/>
  <c r="K86" i="10"/>
  <c r="J11" i="10"/>
  <c r="I77" i="10"/>
  <c r="J86" i="10"/>
  <c r="K74" i="10"/>
  <c r="I11" i="10"/>
  <c r="K40" i="10"/>
  <c r="J77" i="10"/>
  <c r="K11" i="10"/>
  <c r="L40" i="10"/>
  <c r="I40" i="10"/>
  <c r="I67" i="10"/>
  <c r="L60" i="10"/>
  <c r="L18" i="10"/>
  <c r="K42" i="10"/>
  <c r="I16" i="10"/>
  <c r="J61" i="10"/>
  <c r="L52" i="10"/>
  <c r="J16" i="10"/>
  <c r="I60" i="10"/>
  <c r="I88" i="10"/>
  <c r="I78" i="10"/>
  <c r="I59" i="10"/>
  <c r="I19" i="10"/>
  <c r="K59" i="10"/>
  <c r="J59" i="10"/>
  <c r="L59" i="10"/>
  <c r="K92" i="10"/>
  <c r="I50" i="10"/>
  <c r="K85" i="10"/>
  <c r="L70" i="10"/>
  <c r="K80" i="10"/>
  <c r="L25" i="10"/>
  <c r="K70" i="10"/>
  <c r="J72" i="10"/>
  <c r="J88" i="10"/>
  <c r="J58" i="10"/>
  <c r="I25" i="10"/>
  <c r="J17" i="10"/>
  <c r="I71" i="10"/>
  <c r="K49" i="10"/>
  <c r="I82" i="10"/>
  <c r="I70" i="10"/>
  <c r="I13" i="10"/>
  <c r="K72" i="10"/>
  <c r="J33" i="10"/>
  <c r="I45" i="10"/>
  <c r="J24" i="10"/>
  <c r="I17" i="10"/>
  <c r="K75" i="10"/>
  <c r="J70" i="10"/>
  <c r="L33" i="10"/>
  <c r="I74" i="10"/>
  <c r="L66" i="10"/>
  <c r="J52" i="10"/>
  <c r="L78" i="10"/>
  <c r="K28" i="10"/>
  <c r="L48" i="10"/>
  <c r="K54" i="10"/>
  <c r="K36" i="10"/>
  <c r="L68" i="10"/>
  <c r="I92" i="10"/>
  <c r="L76" i="10"/>
  <c r="K57" i="10"/>
  <c r="J43" i="10"/>
  <c r="I29" i="10"/>
  <c r="L54" i="10"/>
  <c r="K89" i="10"/>
  <c r="I23" i="10"/>
  <c r="K19" i="10"/>
  <c r="L92" i="10"/>
  <c r="J66" i="10"/>
  <c r="J30" i="10"/>
  <c r="L43" i="10"/>
  <c r="I42" i="10"/>
  <c r="I80" i="10"/>
  <c r="I28" i="10"/>
  <c r="I53" i="10"/>
  <c r="J95" i="10"/>
  <c r="J14" i="10"/>
  <c r="L89" i="10"/>
  <c r="K23" i="10"/>
  <c r="L21" i="10"/>
  <c r="L17" i="10"/>
  <c r="K67" i="10"/>
  <c r="L19" i="10"/>
  <c r="L87" i="10"/>
  <c r="I62" i="10"/>
  <c r="K50" i="10"/>
  <c r="I12" i="10"/>
  <c r="L82" i="10"/>
  <c r="I90" i="10"/>
  <c r="I72" i="10"/>
  <c r="I58" i="10"/>
  <c r="J45" i="10"/>
  <c r="K24" i="10"/>
  <c r="L28" i="10"/>
  <c r="K53" i="10"/>
  <c r="I48" i="10"/>
  <c r="I26" i="10"/>
  <c r="K68" i="10"/>
  <c r="J96" i="10"/>
  <c r="L67" i="10"/>
  <c r="J12" i="10"/>
  <c r="J82" i="10"/>
  <c r="K43" i="10"/>
  <c r="L69" i="10"/>
  <c r="K12" i="10"/>
  <c r="I93" i="10"/>
  <c r="I24" i="10"/>
  <c r="I54" i="10"/>
  <c r="J71" i="10"/>
  <c r="J76" i="10"/>
  <c r="I66" i="10"/>
  <c r="I52" i="10"/>
  <c r="I43" i="10"/>
  <c r="J78" i="10"/>
  <c r="J69" i="10"/>
  <c r="I56" i="10"/>
  <c r="J36" i="10"/>
  <c r="K61" i="10"/>
  <c r="J68" i="10"/>
  <c r="J19" i="10"/>
  <c r="J92" i="10"/>
  <c r="L75" i="10"/>
  <c r="J49" i="10"/>
  <c r="L50" i="10"/>
  <c r="I76" i="10"/>
  <c r="N314" i="10"/>
  <c r="M314" i="10"/>
  <c r="L314" i="10"/>
  <c r="N312" i="10"/>
  <c r="M312" i="10"/>
  <c r="L312" i="10"/>
  <c r="N341" i="10"/>
  <c r="M341" i="10"/>
  <c r="L341" i="10"/>
  <c r="W386" i="10"/>
  <c r="AA386" i="10"/>
  <c r="O386" i="10"/>
  <c r="T386" i="10"/>
  <c r="U386" i="10" s="1"/>
  <c r="Z386" i="10"/>
  <c r="Y386" i="10"/>
  <c r="X386" i="10"/>
  <c r="V386" i="10"/>
  <c r="N257" i="10"/>
  <c r="M257" i="10"/>
  <c r="L257" i="10"/>
  <c r="I15" i="10"/>
  <c r="N241" i="10"/>
  <c r="M241" i="10"/>
  <c r="L241" i="10"/>
  <c r="N230" i="10"/>
  <c r="M230" i="10"/>
  <c r="L230" i="10"/>
  <c r="W370" i="10"/>
  <c r="AA370" i="10"/>
  <c r="O370" i="10"/>
  <c r="T370" i="10"/>
  <c r="U370" i="10" s="1"/>
  <c r="Z370" i="10"/>
  <c r="Y370" i="10"/>
  <c r="V370" i="10"/>
  <c r="X370" i="10"/>
  <c r="AA387" i="10"/>
  <c r="O387" i="10"/>
  <c r="W387" i="10"/>
  <c r="T387" i="10"/>
  <c r="U387" i="10" s="1"/>
  <c r="Y387" i="10"/>
  <c r="Z387" i="10"/>
  <c r="X387" i="10"/>
  <c r="V387" i="10"/>
  <c r="K3" i="10"/>
  <c r="J3" i="10"/>
  <c r="N235" i="10"/>
  <c r="M235" i="10"/>
  <c r="L235" i="10"/>
  <c r="N256" i="10"/>
  <c r="L256" i="10"/>
  <c r="M256" i="10"/>
  <c r="N248" i="10"/>
  <c r="L248" i="10"/>
  <c r="M248" i="10"/>
  <c r="N342" i="10"/>
  <c r="M342" i="10"/>
  <c r="L342" i="10"/>
  <c r="N296" i="10"/>
  <c r="M296" i="10"/>
  <c r="L296" i="10"/>
  <c r="I94" i="10"/>
  <c r="J93" i="10"/>
  <c r="K30" i="10"/>
  <c r="J13" i="10"/>
  <c r="K52" i="10"/>
  <c r="I44" i="10"/>
  <c r="K84" i="10"/>
  <c r="K16" i="10"/>
  <c r="K73" i="10"/>
  <c r="L80" i="10"/>
  <c r="K45" i="10"/>
  <c r="L24" i="10"/>
  <c r="I20" i="10"/>
  <c r="I69" i="10"/>
  <c r="J29" i="10"/>
  <c r="L95" i="10"/>
  <c r="K14" i="10"/>
  <c r="J56" i="10"/>
  <c r="J26" i="10"/>
  <c r="L23" i="10"/>
  <c r="L61" i="10"/>
  <c r="J25" i="10"/>
  <c r="K17" i="10"/>
  <c r="K96" i="10"/>
  <c r="K71" i="10"/>
  <c r="I75" i="10"/>
  <c r="I87" i="10"/>
  <c r="L49" i="10"/>
  <c r="L62" i="10"/>
  <c r="I51" i="10"/>
  <c r="L85" i="10"/>
  <c r="N268" i="10"/>
  <c r="M268" i="10"/>
  <c r="L268" i="10"/>
  <c r="N291" i="10"/>
  <c r="M291" i="10"/>
  <c r="L291" i="10"/>
  <c r="N219" i="10"/>
  <c r="M219" i="10"/>
  <c r="L219" i="10"/>
  <c r="M213" i="10"/>
  <c r="N213" i="10"/>
  <c r="L213" i="10"/>
  <c r="N325" i="10"/>
  <c r="M325" i="10"/>
  <c r="L325" i="10"/>
  <c r="N270" i="10"/>
  <c r="L270" i="10"/>
  <c r="M270" i="10"/>
  <c r="N313" i="10"/>
  <c r="M313" i="10"/>
  <c r="L313" i="10"/>
  <c r="N226" i="10"/>
  <c r="L226" i="10"/>
  <c r="M226" i="10"/>
  <c r="N301" i="10"/>
  <c r="M301" i="10"/>
  <c r="L301" i="10"/>
  <c r="AA365" i="10"/>
  <c r="O365" i="10"/>
  <c r="W365" i="10"/>
  <c r="Z365" i="10"/>
  <c r="V365" i="10"/>
  <c r="Y365" i="10"/>
  <c r="T365" i="10"/>
  <c r="U365" i="10" s="1"/>
  <c r="X365" i="10"/>
  <c r="W412" i="10"/>
  <c r="AA412" i="10"/>
  <c r="O412" i="10"/>
  <c r="V412" i="10"/>
  <c r="T412" i="10"/>
  <c r="U412" i="10" s="1"/>
  <c r="Z412" i="10"/>
  <c r="X412" i="10"/>
  <c r="Y412" i="10"/>
  <c r="N305" i="10"/>
  <c r="M305" i="10"/>
  <c r="L305" i="10"/>
  <c r="N319" i="10"/>
  <c r="M319" i="10"/>
  <c r="L319" i="10"/>
  <c r="W378" i="10"/>
  <c r="AA378" i="10"/>
  <c r="O378" i="10"/>
  <c r="T378" i="10"/>
  <c r="U378" i="10" s="1"/>
  <c r="Z378" i="10"/>
  <c r="Y378" i="10"/>
  <c r="X378" i="10"/>
  <c r="V378" i="10"/>
  <c r="AA377" i="10"/>
  <c r="O377" i="10"/>
  <c r="W377" i="10"/>
  <c r="V377" i="10"/>
  <c r="Z377" i="10"/>
  <c r="Y377" i="10"/>
  <c r="X377" i="10"/>
  <c r="T377" i="10"/>
  <c r="U377" i="10" s="1"/>
  <c r="N262" i="10"/>
  <c r="M262" i="10"/>
  <c r="L262" i="10"/>
  <c r="W361" i="10"/>
  <c r="V361" i="10"/>
  <c r="T361" i="10"/>
  <c r="U361" i="10" s="1"/>
  <c r="O361" i="10"/>
  <c r="X361" i="10" s="1"/>
  <c r="Z361" i="10"/>
  <c r="Y361" i="10"/>
  <c r="AA361" i="10" s="1"/>
  <c r="W380" i="10"/>
  <c r="AA380" i="10"/>
  <c r="O380" i="10"/>
  <c r="X380" i="10"/>
  <c r="V380" i="10"/>
  <c r="T380" i="10"/>
  <c r="U380" i="10" s="1"/>
  <c r="Z380" i="10"/>
  <c r="Y380" i="10"/>
  <c r="W382" i="10"/>
  <c r="O382" i="10"/>
  <c r="X382" i="10" s="1"/>
  <c r="Z382" i="10"/>
  <c r="Y382" i="10"/>
  <c r="AA382" i="10" s="1"/>
  <c r="V382" i="10"/>
  <c r="T382" i="10"/>
  <c r="U382" i="10" s="1"/>
  <c r="M215" i="10"/>
  <c r="L215" i="10"/>
  <c r="N215" i="10"/>
  <c r="N260" i="10"/>
  <c r="M260" i="10"/>
  <c r="L260" i="10"/>
  <c r="N337" i="10"/>
  <c r="M337" i="10"/>
  <c r="L337" i="10"/>
  <c r="N293" i="10"/>
  <c r="L293" i="10"/>
  <c r="M293" i="10"/>
  <c r="N280" i="10"/>
  <c r="L280" i="10"/>
  <c r="M280" i="10"/>
  <c r="N225" i="10"/>
  <c r="M225" i="10"/>
  <c r="L225" i="10"/>
  <c r="N250" i="10"/>
  <c r="M250" i="10"/>
  <c r="L250" i="10"/>
  <c r="AA363" i="10"/>
  <c r="O363" i="10"/>
  <c r="W363" i="10"/>
  <c r="T363" i="10"/>
  <c r="U363" i="10" s="1"/>
  <c r="Y363" i="10"/>
  <c r="Z363" i="10"/>
  <c r="V363" i="10"/>
  <c r="X363" i="10"/>
  <c r="J94" i="10"/>
  <c r="N244" i="10"/>
  <c r="M244" i="10"/>
  <c r="L244" i="10"/>
  <c r="N283" i="10"/>
  <c r="M283" i="10"/>
  <c r="L283" i="10"/>
  <c r="AA411" i="10"/>
  <c r="O411" i="10"/>
  <c r="W411" i="10"/>
  <c r="X411" i="10"/>
  <c r="V411" i="10"/>
  <c r="T411" i="10"/>
  <c r="U411" i="10" s="1"/>
  <c r="Y411" i="10"/>
  <c r="Z411" i="10"/>
  <c r="AA409" i="10"/>
  <c r="O409" i="10"/>
  <c r="W409" i="10"/>
  <c r="Z409" i="10"/>
  <c r="Y409" i="10"/>
  <c r="X409" i="10"/>
  <c r="V409" i="10"/>
  <c r="T409" i="10"/>
  <c r="U409" i="10" s="1"/>
  <c r="M264" i="10"/>
  <c r="N264" i="10"/>
  <c r="L264" i="10"/>
  <c r="N308" i="10"/>
  <c r="M308" i="10"/>
  <c r="L308" i="10"/>
  <c r="N292" i="10"/>
  <c r="M292" i="10"/>
  <c r="L292" i="10"/>
  <c r="N299" i="10"/>
  <c r="L299" i="10"/>
  <c r="M299" i="10"/>
  <c r="N317" i="10"/>
  <c r="L317" i="10"/>
  <c r="M317" i="10"/>
  <c r="N247" i="10"/>
  <c r="M247" i="10"/>
  <c r="L247" i="10"/>
  <c r="V357" i="10"/>
  <c r="Z357" i="10"/>
  <c r="Y357" i="10"/>
  <c r="AA357" i="10" s="1"/>
  <c r="W357" i="10"/>
  <c r="O357" i="10"/>
  <c r="X357" i="10" s="1"/>
  <c r="T357" i="10"/>
  <c r="U357" i="10" s="1"/>
  <c r="N272" i="10"/>
  <c r="M272" i="10"/>
  <c r="L272" i="10"/>
  <c r="L30" i="10"/>
  <c r="K13" i="10"/>
  <c r="K58" i="10"/>
  <c r="J44" i="10"/>
  <c r="L73" i="10"/>
  <c r="K78" i="10"/>
  <c r="J20" i="10"/>
  <c r="K29" i="10"/>
  <c r="L14" i="10"/>
  <c r="K56" i="10"/>
  <c r="K26" i="10"/>
  <c r="L96" i="10"/>
  <c r="J15" i="10"/>
  <c r="J75" i="10"/>
  <c r="J87" i="10"/>
  <c r="K62" i="10"/>
  <c r="J51" i="10"/>
  <c r="N310" i="10"/>
  <c r="M310" i="10"/>
  <c r="L310" i="10"/>
  <c r="N281" i="10"/>
  <c r="L281" i="10"/>
  <c r="M281" i="10"/>
  <c r="N267" i="10"/>
  <c r="M267" i="10"/>
  <c r="L267" i="10"/>
  <c r="N279" i="10"/>
  <c r="M279" i="10"/>
  <c r="L279" i="10"/>
  <c r="W388" i="10"/>
  <c r="AA388" i="10"/>
  <c r="O388" i="10"/>
  <c r="X388" i="10"/>
  <c r="Z388" i="10"/>
  <c r="Y388" i="10"/>
  <c r="V388" i="10"/>
  <c r="T388" i="10"/>
  <c r="U388" i="10" s="1"/>
  <c r="O369" i="10"/>
  <c r="X369" i="10" s="1"/>
  <c r="W369" i="10"/>
  <c r="V369" i="10"/>
  <c r="T369" i="10"/>
  <c r="U369" i="10" s="1"/>
  <c r="Y369" i="10"/>
  <c r="AA369" i="10" s="1"/>
  <c r="Z369" i="10"/>
  <c r="N238" i="10"/>
  <c r="M238" i="10"/>
  <c r="L238" i="10"/>
  <c r="N340" i="10"/>
  <c r="M340" i="10"/>
  <c r="L340" i="10"/>
  <c r="W400" i="10"/>
  <c r="AA400" i="10"/>
  <c r="O400" i="10"/>
  <c r="X400" i="10"/>
  <c r="V400" i="10"/>
  <c r="Z400" i="10"/>
  <c r="Y400" i="10"/>
  <c r="T400" i="10"/>
  <c r="U400" i="10" s="1"/>
  <c r="W366" i="10"/>
  <c r="AA366" i="10"/>
  <c r="O366" i="10"/>
  <c r="Z366" i="10"/>
  <c r="Y366" i="10"/>
  <c r="V366" i="10"/>
  <c r="T366" i="10"/>
  <c r="U366" i="10" s="1"/>
  <c r="X366" i="10"/>
  <c r="M217" i="10"/>
  <c r="N217" i="10"/>
  <c r="L217" i="10"/>
  <c r="N229" i="10"/>
  <c r="M229" i="10"/>
  <c r="L229" i="10"/>
  <c r="N304" i="10"/>
  <c r="M304" i="10"/>
  <c r="L304" i="10"/>
  <c r="AA373" i="10"/>
  <c r="O373" i="10"/>
  <c r="W373" i="10"/>
  <c r="Z373" i="10"/>
  <c r="V373" i="10"/>
  <c r="Y373" i="10"/>
  <c r="X373" i="10"/>
  <c r="T373" i="10"/>
  <c r="U373" i="10" s="1"/>
  <c r="AA405" i="10"/>
  <c r="O405" i="10"/>
  <c r="W405" i="10"/>
  <c r="Z405" i="10"/>
  <c r="V405" i="10"/>
  <c r="X405" i="10"/>
  <c r="T405" i="10"/>
  <c r="U405" i="10" s="1"/>
  <c r="Y405" i="10"/>
  <c r="L214" i="10"/>
  <c r="N214" i="10"/>
  <c r="M214" i="10"/>
  <c r="N321" i="10"/>
  <c r="M321" i="10"/>
  <c r="L321" i="10"/>
  <c r="N274" i="10"/>
  <c r="L274" i="10"/>
  <c r="M274" i="10"/>
  <c r="W408" i="10"/>
  <c r="AA408" i="10"/>
  <c r="O408" i="10"/>
  <c r="Z408" i="10"/>
  <c r="Y408" i="10"/>
  <c r="X408" i="10"/>
  <c r="V408" i="10"/>
  <c r="T408" i="10"/>
  <c r="U408" i="10" s="1"/>
  <c r="N276" i="10"/>
  <c r="M276" i="10"/>
  <c r="L276" i="10"/>
  <c r="N220" i="10"/>
  <c r="M220" i="10"/>
  <c r="L220" i="10"/>
  <c r="N237" i="10"/>
  <c r="M237" i="10"/>
  <c r="L237" i="10"/>
  <c r="Z358" i="10"/>
  <c r="Y358" i="10"/>
  <c r="AA358" i="10" s="1"/>
  <c r="V358" i="10"/>
  <c r="X358" i="10"/>
  <c r="W358" i="10"/>
  <c r="T358" i="10"/>
  <c r="U358" i="10" s="1"/>
  <c r="O358" i="10"/>
  <c r="L206" i="10"/>
  <c r="N206" i="10"/>
  <c r="M206" i="10"/>
  <c r="N231" i="10"/>
  <c r="M231" i="10"/>
  <c r="L231" i="10"/>
  <c r="N338" i="10"/>
  <c r="M338" i="10"/>
  <c r="L338" i="10"/>
  <c r="W372" i="10"/>
  <c r="AA372" i="10"/>
  <c r="O372" i="10"/>
  <c r="X372" i="10"/>
  <c r="Y372" i="10"/>
  <c r="V372" i="10"/>
  <c r="Z372" i="10"/>
  <c r="T372" i="10"/>
  <c r="U372" i="10" s="1"/>
  <c r="L94" i="10"/>
  <c r="N224" i="10"/>
  <c r="L224" i="10"/>
  <c r="M224" i="10"/>
  <c r="AA393" i="10"/>
  <c r="O393" i="10"/>
  <c r="W393" i="10"/>
  <c r="V393" i="10"/>
  <c r="Z393" i="10"/>
  <c r="Y393" i="10"/>
  <c r="X393" i="10"/>
  <c r="T393" i="10"/>
  <c r="U393" i="10" s="1"/>
  <c r="N324" i="10"/>
  <c r="M324" i="10"/>
  <c r="L324" i="10"/>
  <c r="N326" i="10"/>
  <c r="M326" i="10"/>
  <c r="L326" i="10"/>
  <c r="W364" i="10"/>
  <c r="AA364" i="10"/>
  <c r="O364" i="10"/>
  <c r="X364" i="10"/>
  <c r="Z364" i="10"/>
  <c r="V364" i="10"/>
  <c r="T364" i="10"/>
  <c r="U364" i="10" s="1"/>
  <c r="Y364" i="10"/>
  <c r="M207" i="10"/>
  <c r="L207" i="10"/>
  <c r="N207" i="10"/>
  <c r="N251" i="10"/>
  <c r="M251" i="10"/>
  <c r="L251" i="10"/>
  <c r="V355" i="10"/>
  <c r="Z355" i="10"/>
  <c r="O355" i="10"/>
  <c r="X355" i="10" s="1"/>
  <c r="Y355" i="10"/>
  <c r="AA355" i="10" s="1"/>
  <c r="W355" i="10"/>
  <c r="T355" i="10"/>
  <c r="U355" i="10" s="1"/>
  <c r="AA381" i="10"/>
  <c r="O381" i="10"/>
  <c r="W381" i="10"/>
  <c r="Z381" i="10"/>
  <c r="V381" i="10"/>
  <c r="Y381" i="10"/>
  <c r="T381" i="10"/>
  <c r="U381" i="10" s="1"/>
  <c r="X381" i="10"/>
  <c r="J90" i="10"/>
  <c r="L13" i="10"/>
  <c r="K44" i="10"/>
  <c r="I84" i="10"/>
  <c r="K20" i="10"/>
  <c r="I55" i="10"/>
  <c r="L29" i="10"/>
  <c r="L56" i="10"/>
  <c r="I89" i="10"/>
  <c r="L36" i="10"/>
  <c r="I79" i="10"/>
  <c r="I21" i="10"/>
  <c r="K15" i="10"/>
  <c r="K87" i="10"/>
  <c r="K51" i="10"/>
  <c r="N343" i="10"/>
  <c r="M343" i="10"/>
  <c r="L343" i="10"/>
  <c r="AA383" i="10"/>
  <c r="O383" i="10"/>
  <c r="W383" i="10"/>
  <c r="Y383" i="10"/>
  <c r="X383" i="10"/>
  <c r="T383" i="10"/>
  <c r="U383" i="10" s="1"/>
  <c r="Z383" i="10"/>
  <c r="V383" i="10"/>
  <c r="N246" i="10"/>
  <c r="M246" i="10"/>
  <c r="L246" i="10"/>
  <c r="N298" i="10"/>
  <c r="M298" i="10"/>
  <c r="L298" i="10"/>
  <c r="W362" i="10"/>
  <c r="O362" i="10"/>
  <c r="X362" i="10" s="1"/>
  <c r="T362" i="10"/>
  <c r="U362" i="10" s="1"/>
  <c r="Z362" i="10"/>
  <c r="Y362" i="10"/>
  <c r="AA362" i="10" s="1"/>
  <c r="V362" i="10"/>
  <c r="N284" i="10"/>
  <c r="M284" i="10"/>
  <c r="L284" i="10"/>
  <c r="N295" i="10"/>
  <c r="M295" i="10"/>
  <c r="L295" i="10"/>
  <c r="N311" i="10"/>
  <c r="M311" i="10"/>
  <c r="L311" i="10"/>
  <c r="W404" i="10"/>
  <c r="AA404" i="10"/>
  <c r="O404" i="10"/>
  <c r="X404" i="10"/>
  <c r="T404" i="10"/>
  <c r="U404" i="10" s="1"/>
  <c r="Z404" i="10"/>
  <c r="Y404" i="10"/>
  <c r="V404" i="10"/>
  <c r="AA415" i="10"/>
  <c r="O415" i="10"/>
  <c r="W415" i="10"/>
  <c r="Z415" i="10"/>
  <c r="Y415" i="10"/>
  <c r="X415" i="10"/>
  <c r="V415" i="10"/>
  <c r="T415" i="10"/>
  <c r="U415" i="10" s="1"/>
  <c r="N286" i="10"/>
  <c r="L286" i="10"/>
  <c r="M286" i="10"/>
  <c r="AA375" i="10"/>
  <c r="O375" i="10"/>
  <c r="W375" i="10"/>
  <c r="Y375" i="10"/>
  <c r="X375" i="10"/>
  <c r="T375" i="10"/>
  <c r="U375" i="10" s="1"/>
  <c r="Z375" i="10"/>
  <c r="V375" i="10"/>
  <c r="W374" i="10"/>
  <c r="AA374" i="10"/>
  <c r="O374" i="10"/>
  <c r="Z374" i="10"/>
  <c r="Y374" i="10"/>
  <c r="T374" i="10"/>
  <c r="U374" i="10" s="1"/>
  <c r="X374" i="10"/>
  <c r="V374" i="10"/>
  <c r="N254" i="10"/>
  <c r="M254" i="10"/>
  <c r="L254" i="10"/>
  <c r="M209" i="10"/>
  <c r="N209" i="10"/>
  <c r="L209" i="10"/>
  <c r="N243" i="10"/>
  <c r="M243" i="10"/>
  <c r="L243" i="10"/>
  <c r="N334" i="10"/>
  <c r="M334" i="10"/>
  <c r="L334" i="10"/>
  <c r="N222" i="10"/>
  <c r="M222" i="10"/>
  <c r="L222" i="10"/>
  <c r="AA403" i="10"/>
  <c r="O403" i="10"/>
  <c r="W403" i="10"/>
  <c r="T403" i="10"/>
  <c r="U403" i="10" s="1"/>
  <c r="Y403" i="10"/>
  <c r="Z403" i="10"/>
  <c r="X403" i="10"/>
  <c r="V403" i="10"/>
  <c r="N216" i="10"/>
  <c r="M216" i="10"/>
  <c r="L216" i="10"/>
  <c r="N307" i="10"/>
  <c r="L307" i="10"/>
  <c r="M307" i="10"/>
  <c r="AA367" i="10"/>
  <c r="O367" i="10"/>
  <c r="W367" i="10"/>
  <c r="Y367" i="10"/>
  <c r="X367" i="10"/>
  <c r="T367" i="10"/>
  <c r="U367" i="10" s="1"/>
  <c r="Z367" i="10"/>
  <c r="V367" i="10"/>
  <c r="N336" i="10"/>
  <c r="M336" i="10"/>
  <c r="L336" i="10"/>
  <c r="AA371" i="10"/>
  <c r="O371" i="10"/>
  <c r="W371" i="10"/>
  <c r="T371" i="10"/>
  <c r="U371" i="10" s="1"/>
  <c r="Y371" i="10"/>
  <c r="X371" i="10"/>
  <c r="V371" i="10"/>
  <c r="Z371" i="10"/>
  <c r="N265" i="10"/>
  <c r="M265" i="10"/>
  <c r="L265" i="10"/>
  <c r="W402" i="10"/>
  <c r="AA402" i="10"/>
  <c r="O402" i="10"/>
  <c r="T402" i="10"/>
  <c r="U402" i="10" s="1"/>
  <c r="Z402" i="10"/>
  <c r="Y402" i="10"/>
  <c r="X402" i="10"/>
  <c r="V402" i="10"/>
  <c r="N323" i="10"/>
  <c r="L323" i="10"/>
  <c r="M323" i="10"/>
  <c r="N221" i="10"/>
  <c r="M221" i="10"/>
  <c r="L221" i="10"/>
  <c r="N232" i="10"/>
  <c r="L232" i="10"/>
  <c r="M232" i="10"/>
  <c r="J84" i="10"/>
  <c r="L51" i="10"/>
  <c r="N287" i="10"/>
  <c r="M287" i="10"/>
  <c r="L287" i="10"/>
  <c r="W414" i="10"/>
  <c r="AA414" i="10"/>
  <c r="O414" i="10"/>
  <c r="T414" i="10"/>
  <c r="U414" i="10" s="1"/>
  <c r="Z414" i="10"/>
  <c r="Y414" i="10"/>
  <c r="X414" i="10"/>
  <c r="V414" i="10"/>
  <c r="Z354" i="10"/>
  <c r="Y354" i="10"/>
  <c r="V354" i="10"/>
  <c r="T354" i="10"/>
  <c r="U354" i="10" s="1"/>
  <c r="O354" i="10"/>
  <c r="X354" i="10" s="1"/>
  <c r="AA354" i="10"/>
  <c r="W354" i="10"/>
  <c r="N242" i="10"/>
  <c r="M242" i="10"/>
  <c r="L242" i="10"/>
  <c r="K90" i="10"/>
  <c r="I57" i="10"/>
  <c r="L93" i="10"/>
  <c r="L44" i="10"/>
  <c r="L84" i="10"/>
  <c r="I73" i="10"/>
  <c r="I33" i="10"/>
  <c r="J55" i="10"/>
  <c r="I95" i="10"/>
  <c r="J79" i="10"/>
  <c r="J21" i="10"/>
  <c r="L15" i="10"/>
  <c r="I85" i="10"/>
  <c r="AA379" i="10"/>
  <c r="O379" i="10"/>
  <c r="W379" i="10"/>
  <c r="T379" i="10"/>
  <c r="U379" i="10" s="1"/>
  <c r="Y379" i="10"/>
  <c r="V379" i="10"/>
  <c r="Z379" i="10"/>
  <c r="X379" i="10"/>
  <c r="N210" i="10"/>
  <c r="M210" i="10"/>
  <c r="L210" i="10"/>
  <c r="N212" i="10"/>
  <c r="L212" i="10"/>
  <c r="M212" i="10"/>
  <c r="N289" i="10"/>
  <c r="M289" i="10"/>
  <c r="L289" i="10"/>
  <c r="N349" i="10"/>
  <c r="T349" i="10"/>
  <c r="I3" i="10" s="1"/>
  <c r="N294" i="10"/>
  <c r="M294" i="10"/>
  <c r="L294" i="10"/>
  <c r="N335" i="10"/>
  <c r="M335" i="10"/>
  <c r="L335" i="10"/>
  <c r="N227" i="10"/>
  <c r="M227" i="10"/>
  <c r="L227" i="10"/>
  <c r="N318" i="10"/>
  <c r="M318" i="10"/>
  <c r="L318" i="10"/>
  <c r="N236" i="10"/>
  <c r="M236" i="10"/>
  <c r="L236" i="10"/>
  <c r="N252" i="10"/>
  <c r="M252" i="10"/>
  <c r="L252" i="10"/>
  <c r="N316" i="10"/>
  <c r="M316" i="10"/>
  <c r="L316" i="10"/>
  <c r="N266" i="10"/>
  <c r="L266" i="10"/>
  <c r="M266" i="10"/>
  <c r="T417" i="10"/>
  <c r="U417" i="10" s="1"/>
  <c r="AA417" i="10"/>
  <c r="O417" i="10"/>
  <c r="W417" i="10"/>
  <c r="Z417" i="10"/>
  <c r="Y417" i="10"/>
  <c r="X417" i="10"/>
  <c r="V417" i="10"/>
  <c r="M205" i="10"/>
  <c r="N205" i="10"/>
  <c r="L205" i="10"/>
  <c r="N249" i="10"/>
  <c r="M249" i="10"/>
  <c r="L249" i="10"/>
  <c r="N332" i="10"/>
  <c r="M332" i="10"/>
  <c r="L332" i="10"/>
  <c r="N285" i="10"/>
  <c r="M285" i="10"/>
  <c r="L285" i="10"/>
  <c r="N261" i="10"/>
  <c r="M261" i="10"/>
  <c r="L261" i="10"/>
  <c r="AA413" i="10"/>
  <c r="O413" i="10"/>
  <c r="W413" i="10"/>
  <c r="T413" i="10"/>
  <c r="U413" i="10" s="1"/>
  <c r="Z413" i="10"/>
  <c r="Y413" i="10"/>
  <c r="V413" i="10"/>
  <c r="X413" i="10"/>
  <c r="N345" i="10"/>
  <c r="M345" i="10"/>
  <c r="L345" i="10"/>
  <c r="N339" i="10"/>
  <c r="L339" i="10"/>
  <c r="M339" i="10"/>
  <c r="W394" i="10"/>
  <c r="AA394" i="10"/>
  <c r="O394" i="10"/>
  <c r="T394" i="10"/>
  <c r="U394" i="10" s="1"/>
  <c r="Z394" i="10"/>
  <c r="X394" i="10"/>
  <c r="V394" i="10"/>
  <c r="Y394" i="10"/>
  <c r="W410" i="10"/>
  <c r="AA410" i="10"/>
  <c r="O410" i="10"/>
  <c r="Y410" i="10"/>
  <c r="X410" i="10"/>
  <c r="V410" i="10"/>
  <c r="T410" i="10"/>
  <c r="U410" i="10" s="1"/>
  <c r="Z410" i="10"/>
  <c r="N258" i="10"/>
  <c r="M258" i="10"/>
  <c r="L258" i="10"/>
  <c r="N333" i="10"/>
  <c r="M333" i="10"/>
  <c r="L333" i="10"/>
  <c r="AA397" i="10"/>
  <c r="O397" i="10"/>
  <c r="W397" i="10"/>
  <c r="Z397" i="10"/>
  <c r="V397" i="10"/>
  <c r="Y397" i="10"/>
  <c r="X397" i="10"/>
  <c r="T397" i="10"/>
  <c r="U397" i="10" s="1"/>
  <c r="N315" i="10"/>
  <c r="L315" i="10"/>
  <c r="M315" i="10"/>
  <c r="N303" i="10"/>
  <c r="L303" i="10"/>
  <c r="M303" i="10"/>
  <c r="N329" i="10"/>
  <c r="M329" i="10"/>
  <c r="L329" i="10"/>
  <c r="N282" i="10"/>
  <c r="L282" i="10"/>
  <c r="M282" i="10"/>
  <c r="J57" i="10"/>
  <c r="K93" i="10"/>
  <c r="K55" i="10"/>
  <c r="K79" i="10"/>
  <c r="K21" i="10"/>
  <c r="W368" i="10"/>
  <c r="AA368" i="10"/>
  <c r="O368" i="10"/>
  <c r="X368" i="10"/>
  <c r="V368" i="10"/>
  <c r="Z368" i="10"/>
  <c r="T368" i="10"/>
  <c r="U368" i="10" s="1"/>
  <c r="Y368" i="10"/>
  <c r="AA401" i="10"/>
  <c r="O401" i="10"/>
  <c r="W401" i="10"/>
  <c r="V401" i="10"/>
  <c r="Z401" i="10"/>
  <c r="Y401" i="10"/>
  <c r="X401" i="10"/>
  <c r="T401" i="10"/>
  <c r="U401" i="10" s="1"/>
  <c r="N330" i="10"/>
  <c r="M330" i="10"/>
  <c r="L330" i="10"/>
  <c r="AA395" i="10"/>
  <c r="O395" i="10"/>
  <c r="W395" i="10"/>
  <c r="T395" i="10"/>
  <c r="U395" i="10" s="1"/>
  <c r="Y395" i="10"/>
  <c r="Z395" i="10"/>
  <c r="X395" i="10"/>
  <c r="V395" i="10"/>
  <c r="N348" i="10"/>
  <c r="T348" i="10"/>
  <c r="I2" i="10" s="1"/>
  <c r="N275" i="10"/>
  <c r="M275" i="10"/>
  <c r="L275" i="10"/>
  <c r="M211" i="10"/>
  <c r="N211" i="10"/>
  <c r="L211" i="10"/>
  <c r="N322" i="10"/>
  <c r="M322" i="10"/>
  <c r="L322" i="10"/>
  <c r="N269" i="10"/>
  <c r="M269" i="10"/>
  <c r="L269" i="10"/>
  <c r="N273" i="10"/>
  <c r="M273" i="10"/>
  <c r="L273" i="10"/>
  <c r="N202" i="10"/>
  <c r="M202" i="10"/>
  <c r="L202" i="10"/>
  <c r="N240" i="10"/>
  <c r="L240" i="10"/>
  <c r="M240" i="10"/>
  <c r="N331" i="10"/>
  <c r="L331" i="10"/>
  <c r="M331" i="10"/>
  <c r="N271" i="10"/>
  <c r="M271" i="10"/>
  <c r="L271" i="10"/>
  <c r="N204" i="10"/>
  <c r="M204" i="10"/>
  <c r="L204" i="10"/>
  <c r="M208" i="10"/>
  <c r="L208" i="10"/>
  <c r="N208" i="10"/>
  <c r="N234" i="10"/>
  <c r="M234" i="10"/>
  <c r="L234" i="10"/>
  <c r="N344" i="10"/>
  <c r="M344" i="10"/>
  <c r="L344" i="10"/>
  <c r="N253" i="10"/>
  <c r="M253" i="10"/>
  <c r="L253" i="10"/>
  <c r="N228" i="10"/>
  <c r="M228" i="10"/>
  <c r="L228" i="10"/>
  <c r="N245" i="10"/>
  <c r="M245" i="10"/>
  <c r="L245" i="10"/>
  <c r="N320" i="10"/>
  <c r="M320" i="10"/>
  <c r="L320" i="10"/>
  <c r="AA389" i="10"/>
  <c r="O389" i="10"/>
  <c r="W389" i="10"/>
  <c r="Z389" i="10"/>
  <c r="V389" i="10"/>
  <c r="T389" i="10"/>
  <c r="U389" i="10" s="1"/>
  <c r="Y389" i="10"/>
  <c r="X389" i="10"/>
  <c r="M203" i="10"/>
  <c r="N203" i="10"/>
  <c r="L203" i="10"/>
  <c r="W396" i="10"/>
  <c r="O396" i="10"/>
  <c r="X396" i="10" s="1"/>
  <c r="Z396" i="10"/>
  <c r="Y396" i="10"/>
  <c r="AA396" i="10" s="1"/>
  <c r="V396" i="10"/>
  <c r="T396" i="10"/>
  <c r="U396" i="10" s="1"/>
  <c r="Z356" i="10"/>
  <c r="Y356" i="10"/>
  <c r="V356" i="10"/>
  <c r="AA356" i="10"/>
  <c r="W356" i="10"/>
  <c r="T356" i="10"/>
  <c r="U356" i="10" s="1"/>
  <c r="O356" i="10"/>
  <c r="X356" i="10" s="1"/>
  <c r="W398" i="10"/>
  <c r="AA398" i="10"/>
  <c r="O398" i="10"/>
  <c r="Z398" i="10"/>
  <c r="Y398" i="10"/>
  <c r="X398" i="10"/>
  <c r="V398" i="10"/>
  <c r="T398" i="10"/>
  <c r="U398" i="10" s="1"/>
  <c r="N278" i="10"/>
  <c r="L278" i="10"/>
  <c r="M278" i="10"/>
  <c r="N288" i="10"/>
  <c r="M288" i="10"/>
  <c r="L288" i="10"/>
  <c r="AA391" i="10"/>
  <c r="O391" i="10"/>
  <c r="W391" i="10"/>
  <c r="Y391" i="10"/>
  <c r="X391" i="10"/>
  <c r="T391" i="10"/>
  <c r="U391" i="10" s="1"/>
  <c r="Z391" i="10"/>
  <c r="V391" i="10"/>
  <c r="N223" i="10"/>
  <c r="M223" i="10"/>
  <c r="L223" i="10"/>
  <c r="N259" i="10"/>
  <c r="M259" i="10"/>
  <c r="L259" i="10"/>
  <c r="W406" i="10"/>
  <c r="AA406" i="10"/>
  <c r="O406" i="10"/>
  <c r="Z406" i="10"/>
  <c r="Y406" i="10"/>
  <c r="X406" i="10"/>
  <c r="V406" i="10"/>
  <c r="T406" i="10"/>
  <c r="U406" i="10" s="1"/>
  <c r="N263" i="10"/>
  <c r="M263" i="10"/>
  <c r="L263" i="10"/>
  <c r="N306" i="10"/>
  <c r="M306" i="10"/>
  <c r="L306" i="10"/>
  <c r="AA399" i="10"/>
  <c r="O399" i="10"/>
  <c r="W399" i="10"/>
  <c r="Y399" i="10"/>
  <c r="X399" i="10"/>
  <c r="T399" i="10"/>
  <c r="U399" i="10" s="1"/>
  <c r="V399" i="10"/>
  <c r="Z399" i="10"/>
  <c r="AA407" i="10"/>
  <c r="O407" i="10"/>
  <c r="W407" i="10"/>
  <c r="Z407" i="10"/>
  <c r="Y407" i="10"/>
  <c r="X407" i="10"/>
  <c r="V407" i="10"/>
  <c r="T407" i="10"/>
  <c r="U407" i="10" s="1"/>
  <c r="W384" i="10"/>
  <c r="AA384" i="10"/>
  <c r="O384" i="10"/>
  <c r="X384" i="10"/>
  <c r="V384" i="10"/>
  <c r="T384" i="10"/>
  <c r="U384" i="10" s="1"/>
  <c r="Z384" i="10"/>
  <c r="Y384" i="10"/>
  <c r="N255" i="10"/>
  <c r="M255" i="10"/>
  <c r="L255" i="10"/>
  <c r="N218" i="10"/>
  <c r="M218" i="10"/>
  <c r="L218" i="10"/>
  <c r="N328" i="10"/>
  <c r="M328" i="10"/>
  <c r="L328" i="10"/>
  <c r="N300" i="10"/>
  <c r="M300" i="10"/>
  <c r="L300" i="10"/>
  <c r="N239" i="10"/>
  <c r="M239" i="10"/>
  <c r="L239" i="10"/>
  <c r="N327" i="10"/>
  <c r="M327" i="10"/>
  <c r="L327" i="10"/>
  <c r="N277" i="10"/>
  <c r="L277" i="10"/>
  <c r="M277" i="10"/>
  <c r="V359" i="10"/>
  <c r="Z359" i="10"/>
  <c r="Y359" i="10"/>
  <c r="X359" i="10"/>
  <c r="W359" i="10"/>
  <c r="O359" i="10"/>
  <c r="AA359" i="10"/>
  <c r="T359" i="10"/>
  <c r="U359" i="10" s="1"/>
  <c r="N302" i="10"/>
  <c r="M302" i="10"/>
  <c r="L302" i="10"/>
  <c r="M201" i="10"/>
  <c r="N201" i="10"/>
  <c r="L201" i="10"/>
  <c r="N297" i="10"/>
  <c r="M297" i="10"/>
  <c r="L297" i="10"/>
  <c r="W392" i="10"/>
  <c r="AA392" i="10"/>
  <c r="O392" i="10"/>
  <c r="X392" i="10"/>
  <c r="V392" i="10"/>
  <c r="Z392" i="10"/>
  <c r="Y392" i="10"/>
  <c r="T392" i="10"/>
  <c r="U392" i="10" s="1"/>
  <c r="N309" i="10"/>
  <c r="M309" i="10"/>
  <c r="L309" i="10"/>
  <c r="K2" i="10"/>
  <c r="J2" i="10"/>
  <c r="W376" i="10"/>
  <c r="AA376" i="10"/>
  <c r="O376" i="10"/>
  <c r="X376" i="10"/>
  <c r="V376" i="10"/>
  <c r="Y376" i="10"/>
  <c r="T376" i="10"/>
  <c r="U376" i="10" s="1"/>
  <c r="Z376" i="10"/>
  <c r="AA385" i="10"/>
  <c r="O385" i="10"/>
  <c r="W385" i="10"/>
  <c r="V385" i="10"/>
  <c r="Y385" i="10"/>
  <c r="X385" i="10"/>
  <c r="T385" i="10"/>
  <c r="U385" i="10" s="1"/>
  <c r="Z385" i="10"/>
  <c r="W390" i="10"/>
  <c r="AA390" i="10"/>
  <c r="O390" i="10"/>
  <c r="Z390" i="10"/>
  <c r="Y390" i="10"/>
  <c r="X390" i="10"/>
  <c r="V390" i="10"/>
  <c r="T390" i="10"/>
  <c r="U390" i="10" s="1"/>
  <c r="N233" i="10"/>
  <c r="M233" i="10"/>
  <c r="L233" i="10"/>
  <c r="Z360" i="10"/>
  <c r="Y360" i="10"/>
  <c r="V360" i="10"/>
  <c r="W360" i="10"/>
  <c r="T360" i="10"/>
  <c r="U360" i="10" s="1"/>
  <c r="X360" i="10"/>
  <c r="AA360" i="10"/>
  <c r="O360" i="10"/>
  <c r="N290" i="10"/>
  <c r="L290" i="10"/>
  <c r="M290" i="10"/>
  <c r="X416" i="10"/>
  <c r="W416" i="10"/>
  <c r="AA416" i="10"/>
  <c r="O416" i="10"/>
  <c r="Z416" i="10"/>
  <c r="Y416" i="10"/>
  <c r="V416" i="10"/>
  <c r="T416" i="10"/>
  <c r="U416" i="10" s="1"/>
  <c r="S8" i="10" l="1"/>
  <c r="W5" i="18" s="1"/>
  <c r="S7" i="10"/>
  <c r="W3" i="18" s="1"/>
  <c r="X2" i="18" s="1"/>
  <c r="L176" i="10"/>
  <c r="I15" i="18" s="1"/>
  <c r="K141" i="17"/>
  <c r="L179" i="10"/>
  <c r="I18" i="18" s="1"/>
  <c r="K144" i="17"/>
  <c r="L178" i="10"/>
  <c r="I17" i="18" s="1"/>
  <c r="K143" i="17"/>
  <c r="L177" i="10"/>
  <c r="I16" i="18" s="1"/>
  <c r="K142" i="17"/>
  <c r="P5" i="17" s="1"/>
  <c r="K187" i="10"/>
  <c r="Q20" i="18" s="1"/>
  <c r="K190" i="10"/>
  <c r="AC16" i="18" s="1"/>
  <c r="K191" i="10"/>
  <c r="AC17" i="18" s="1"/>
  <c r="K192" i="10"/>
  <c r="AC18" i="18" s="1"/>
  <c r="K193" i="10"/>
  <c r="AC19" i="18" s="1"/>
  <c r="K194" i="10"/>
  <c r="AC20" i="18" s="1"/>
  <c r="K195" i="10"/>
  <c r="AC21" i="18" s="1"/>
  <c r="K196" i="10"/>
  <c r="AC22" i="18" s="1"/>
  <c r="K189" i="10"/>
  <c r="AC15" i="18" s="1"/>
  <c r="K181" i="10"/>
  <c r="Q15" i="18" s="1"/>
  <c r="K182" i="10"/>
  <c r="Q16" i="18" s="1"/>
  <c r="K183" i="10"/>
  <c r="Q17" i="18" s="1"/>
  <c r="K184" i="10"/>
  <c r="Q18" i="18" s="1"/>
  <c r="K185" i="10"/>
  <c r="Q19" i="18" s="1"/>
  <c r="K186" i="10"/>
  <c r="K188" i="10"/>
  <c r="Q21" i="18" s="1"/>
  <c r="K180" i="10"/>
  <c r="R1" i="10"/>
  <c r="R5" i="10"/>
  <c r="P345" i="10"/>
  <c r="R4" i="10"/>
  <c r="R3" i="10"/>
  <c r="P353" i="10"/>
  <c r="T352" i="10"/>
  <c r="T350" i="10"/>
  <c r="T351" i="10"/>
  <c r="R2" i="10"/>
  <c r="X4" i="18" l="1"/>
  <c r="M5" i="17"/>
  <c r="N9" i="18"/>
  <c r="M4" i="17"/>
  <c r="N7" i="18"/>
  <c r="M3" i="17"/>
  <c r="N5" i="18"/>
  <c r="M2" i="17"/>
  <c r="N3" i="18"/>
  <c r="P7" i="10"/>
  <c r="E20" i="18"/>
  <c r="L194" i="10"/>
  <c r="AG20" i="18" s="1"/>
  <c r="K159" i="17"/>
  <c r="L184" i="10"/>
  <c r="U18" i="18" s="1"/>
  <c r="K149" i="17"/>
  <c r="L183" i="10"/>
  <c r="U17" i="18" s="1"/>
  <c r="K148" i="17"/>
  <c r="L192" i="10"/>
  <c r="AG18" i="18" s="1"/>
  <c r="K157" i="17"/>
  <c r="L193" i="10"/>
  <c r="AG19" i="18" s="1"/>
  <c r="K158" i="17"/>
  <c r="L142" i="17"/>
  <c r="Q5" i="17" s="1"/>
  <c r="L182" i="10"/>
  <c r="U16" i="18" s="1"/>
  <c r="K147" i="17"/>
  <c r="L191" i="10"/>
  <c r="AG17" i="18" s="1"/>
  <c r="K156" i="17"/>
  <c r="P6" i="17"/>
  <c r="L143" i="17"/>
  <c r="L181" i="10"/>
  <c r="U15" i="18" s="1"/>
  <c r="K146" i="17"/>
  <c r="L190" i="10"/>
  <c r="AG16" i="18" s="1"/>
  <c r="K155" i="17"/>
  <c r="L180" i="10"/>
  <c r="K145" i="17"/>
  <c r="L189" i="10"/>
  <c r="AG15" i="18" s="1"/>
  <c r="K154" i="17"/>
  <c r="L187" i="10"/>
  <c r="U20" i="18" s="1"/>
  <c r="K152" i="17"/>
  <c r="P7" i="17"/>
  <c r="L144" i="17"/>
  <c r="L185" i="10"/>
  <c r="U19" i="18" s="1"/>
  <c r="K150" i="17"/>
  <c r="L188" i="10"/>
  <c r="U21" i="18" s="1"/>
  <c r="K153" i="17"/>
  <c r="S8" i="17" s="1"/>
  <c r="L196" i="10"/>
  <c r="AG22" i="18" s="1"/>
  <c r="K161" i="17"/>
  <c r="L186" i="10"/>
  <c r="K151" i="17"/>
  <c r="L195" i="10"/>
  <c r="AG21" i="18" s="1"/>
  <c r="K160" i="17"/>
  <c r="P4" i="17"/>
  <c r="L141" i="17"/>
  <c r="Q4" i="17" s="1"/>
  <c r="P6" i="10"/>
  <c r="R11" i="18" s="1"/>
  <c r="U352" i="10"/>
  <c r="L8" i="10" s="1"/>
  <c r="U351" i="10"/>
  <c r="L7" i="10" s="1"/>
  <c r="U350" i="10"/>
  <c r="L6" i="10" s="1"/>
  <c r="H7" i="17" l="1"/>
  <c r="R8" i="18"/>
  <c r="Q7" i="17"/>
  <c r="T1" i="17"/>
  <c r="Q6" i="17"/>
  <c r="Q8" i="17"/>
  <c r="L198" i="10"/>
  <c r="V4" i="17"/>
  <c r="L156" i="17"/>
  <c r="W4" i="17" s="1"/>
  <c r="L145" i="17"/>
  <c r="L151" i="17"/>
  <c r="V3" i="17"/>
  <c r="L155" i="17"/>
  <c r="W3" i="17" s="1"/>
  <c r="S3" i="17"/>
  <c r="L147" i="17"/>
  <c r="T3" i="17" s="1"/>
  <c r="S4" i="17"/>
  <c r="L148" i="17"/>
  <c r="T4" i="17" s="1"/>
  <c r="S7" i="17"/>
  <c r="L152" i="17"/>
  <c r="S5" i="17"/>
  <c r="L149" i="17"/>
  <c r="T5" i="17" s="1"/>
  <c r="V8" i="17"/>
  <c r="L160" i="17"/>
  <c r="W8" i="17" s="1"/>
  <c r="S6" i="17"/>
  <c r="L150" i="17"/>
  <c r="T6" i="17" s="1"/>
  <c r="V5" i="17"/>
  <c r="L157" i="17"/>
  <c r="W5" i="17" s="1"/>
  <c r="S2" i="17"/>
  <c r="L146" i="17"/>
  <c r="T2" i="17" s="1"/>
  <c r="V9" i="17"/>
  <c r="L161" i="17"/>
  <c r="W9" i="17" s="1"/>
  <c r="L153" i="17"/>
  <c r="V2" i="17"/>
  <c r="L154" i="17"/>
  <c r="W2" i="17" s="1"/>
  <c r="V6" i="17"/>
  <c r="L158" i="17"/>
  <c r="W6" i="17" s="1"/>
  <c r="V7" i="17"/>
  <c r="L159" i="17"/>
  <c r="W7" i="17" s="1"/>
  <c r="V351" i="10"/>
  <c r="V352" i="10"/>
  <c r="V350" i="10"/>
  <c r="T7" i="17" l="1"/>
  <c r="T9" i="17"/>
  <c r="W1" i="17"/>
  <c r="T8" i="17"/>
  <c r="L163" i="17"/>
  <c r="I6" i="10" a="1"/>
  <c r="I6" i="10" s="1"/>
  <c r="L9" i="10" s="1"/>
  <c r="P5" i="10" s="1"/>
  <c r="P9" i="10" s="1"/>
  <c r="F7" i="17" l="1"/>
  <c r="Q92" i="10"/>
  <c r="Q11" i="10"/>
  <c r="Q94" i="10"/>
  <c r="Q93" i="10"/>
  <c r="H7" i="10" l="1"/>
  <c r="H8" i="10"/>
  <c r="H6" i="10"/>
  <c r="K6" i="10" s="1"/>
  <c r="D11" i="18"/>
  <c r="G11" i="18" s="1"/>
  <c r="D10" i="18"/>
  <c r="G10" i="18" s="1"/>
  <c r="D9" i="18"/>
  <c r="G9" i="18" s="1"/>
  <c r="J2" i="17" l="1"/>
  <c r="K2" i="17" s="1"/>
  <c r="J6" i="10"/>
  <c r="G12" i="18"/>
  <c r="K8" i="10"/>
  <c r="J8" i="10"/>
  <c r="J4" i="17"/>
  <c r="K4" i="17" s="1"/>
  <c r="K7" i="10"/>
  <c r="J7" i="10"/>
  <c r="J3" i="17"/>
  <c r="K3" i="17" s="1"/>
  <c r="R5" i="18" l="1"/>
  <c r="X10" i="18" s="1"/>
  <c r="K5" i="17"/>
  <c r="N306" i="17" s="1"/>
  <c r="D7" i="17" s="1"/>
  <c r="K7" i="17" s="1"/>
  <c r="N305" i="17" l="1"/>
  <c r="P312" i="1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<sst xmlns="http://schemas.openxmlformats.org/spreadsheetml/2006/main" count="4925" uniqueCount="1154">
  <si>
    <t>Name</t>
  </si>
  <si>
    <t>Latitude</t>
  </si>
  <si>
    <t>Longitude</t>
  </si>
  <si>
    <t>Availability</t>
  </si>
  <si>
    <t>Instructions</t>
  </si>
  <si>
    <t>Bonus Type</t>
  </si>
  <si>
    <t>Bonus Code</t>
  </si>
  <si>
    <t>Bonus Name</t>
  </si>
  <si>
    <t>Bonus Category</t>
  </si>
  <si>
    <t>Oil Region</t>
  </si>
  <si>
    <t>Points</t>
  </si>
  <si>
    <t>MAP LINK</t>
  </si>
  <si>
    <t>Oil Derricks</t>
  </si>
  <si>
    <t>Discovery Wells</t>
  </si>
  <si>
    <t>Drilling Rigs</t>
  </si>
  <si>
    <t>Pump Jacks</t>
  </si>
  <si>
    <t>Oilmen</t>
  </si>
  <si>
    <t>Workers</t>
  </si>
  <si>
    <t>Mishaps</t>
  </si>
  <si>
    <t>Unique</t>
  </si>
  <si>
    <t>Oil Towns</t>
  </si>
  <si>
    <t>Oil Production</t>
  </si>
  <si>
    <t>Equipment</t>
  </si>
  <si>
    <t>Labor/Training</t>
  </si>
  <si>
    <t>Land Leases</t>
  </si>
  <si>
    <t>Spindletop</t>
  </si>
  <si>
    <t>Humble</t>
  </si>
  <si>
    <t>Sour Lake</t>
  </si>
  <si>
    <t>East Texas</t>
  </si>
  <si>
    <t>Southern Coastal</t>
  </si>
  <si>
    <t>Permian Basin &amp; Big Lake</t>
  </si>
  <si>
    <t>Panhandle</t>
  </si>
  <si>
    <t>North Texas</t>
  </si>
  <si>
    <t>DIS(1)</t>
  </si>
  <si>
    <t>DIS(2)</t>
  </si>
  <si>
    <t>DIS(3)</t>
  </si>
  <si>
    <t>DIS(5)</t>
  </si>
  <si>
    <t>DIS(13)</t>
  </si>
  <si>
    <t>DIS(22)</t>
  </si>
  <si>
    <t>DRI(6)</t>
  </si>
  <si>
    <t>PUM(2)</t>
  </si>
  <si>
    <t>DIS(30)</t>
  </si>
  <si>
    <t>DIS(31)</t>
  </si>
  <si>
    <t>PUM(3)</t>
  </si>
  <si>
    <t>DIS(7)</t>
  </si>
  <si>
    <t>DIS(12)</t>
  </si>
  <si>
    <t>DIS(16)</t>
  </si>
  <si>
    <t>DIS(18)</t>
  </si>
  <si>
    <t>DIS(27)</t>
  </si>
  <si>
    <t>DRI(1)</t>
  </si>
  <si>
    <t>DRI(3)</t>
  </si>
  <si>
    <t>DRI(7)</t>
  </si>
  <si>
    <t>DRI(10)</t>
  </si>
  <si>
    <t>DIS(11)</t>
  </si>
  <si>
    <t>DIS(14)</t>
  </si>
  <si>
    <t>DRI(5)</t>
  </si>
  <si>
    <t>DIS(6)</t>
  </si>
  <si>
    <t>DIS(8)</t>
  </si>
  <si>
    <t>DIS(9)</t>
  </si>
  <si>
    <t>DIS(10)</t>
  </si>
  <si>
    <t>DIS(15)</t>
  </si>
  <si>
    <t>DIS(21)</t>
  </si>
  <si>
    <t>DIS(23)</t>
  </si>
  <si>
    <t>DIS(24)</t>
  </si>
  <si>
    <t>DIS(25)</t>
  </si>
  <si>
    <t>DIS(26)</t>
  </si>
  <si>
    <t>DIS(28)</t>
  </si>
  <si>
    <t>DIS(29)</t>
  </si>
  <si>
    <t>DRI(8)</t>
  </si>
  <si>
    <t>DIS(32)</t>
  </si>
  <si>
    <t>DIS(19)</t>
  </si>
  <si>
    <t>DIS(20)</t>
  </si>
  <si>
    <t>DRI(9)</t>
  </si>
  <si>
    <t>DIS(4)</t>
  </si>
  <si>
    <t>DIS(17)</t>
  </si>
  <si>
    <t>MAN(5)</t>
  </si>
  <si>
    <t>MAN(6)</t>
  </si>
  <si>
    <t>MAN(7)</t>
  </si>
  <si>
    <t>MAN(10)</t>
  </si>
  <si>
    <t>MAN(11)</t>
  </si>
  <si>
    <t>MAN(17)</t>
  </si>
  <si>
    <t>MAN(18)</t>
  </si>
  <si>
    <t>MAN(19)</t>
  </si>
  <si>
    <t>MAN(21)</t>
  </si>
  <si>
    <t>MAN(22)</t>
  </si>
  <si>
    <t>MIS(3)</t>
  </si>
  <si>
    <t>MIS(6)</t>
  </si>
  <si>
    <t>UNI(4)</t>
  </si>
  <si>
    <t>WOR(1)</t>
  </si>
  <si>
    <t>WOR(4)</t>
  </si>
  <si>
    <t>WOR(5)</t>
  </si>
  <si>
    <t>WOR(6)</t>
  </si>
  <si>
    <t>MAN(9)</t>
  </si>
  <si>
    <t>MIS(1)</t>
  </si>
  <si>
    <t>MAN(8)</t>
  </si>
  <si>
    <t>MAN(13)</t>
  </si>
  <si>
    <t>MAN(16)</t>
  </si>
  <si>
    <t>MAN(23)</t>
  </si>
  <si>
    <t>UNI(2)</t>
  </si>
  <si>
    <t>WOR(2)</t>
  </si>
  <si>
    <t>WOR(3)</t>
  </si>
  <si>
    <t>MAN(4)</t>
  </si>
  <si>
    <t>MAN(15)</t>
  </si>
  <si>
    <t>MAN(20)</t>
  </si>
  <si>
    <t>MIS(5)</t>
  </si>
  <si>
    <t>MIS(4)</t>
  </si>
  <si>
    <t>MIS(7)</t>
  </si>
  <si>
    <t>UNI(3)</t>
  </si>
  <si>
    <t>MIS(2)</t>
  </si>
  <si>
    <t>MAN(2)</t>
  </si>
  <si>
    <t>MAN(12)</t>
  </si>
  <si>
    <t>UNI(5)</t>
  </si>
  <si>
    <t>TOW(6)</t>
  </si>
  <si>
    <t>TOW(19)</t>
  </si>
  <si>
    <t>TOW(20)</t>
  </si>
  <si>
    <t>TOW(25)</t>
  </si>
  <si>
    <t>TOW(27)</t>
  </si>
  <si>
    <t>TOW(33)</t>
  </si>
  <si>
    <t>TOW(36)</t>
  </si>
  <si>
    <t>TOW(7)</t>
  </si>
  <si>
    <t>TOW(11)</t>
  </si>
  <si>
    <t>TOW(31)</t>
  </si>
  <si>
    <t>TOW(2)</t>
  </si>
  <si>
    <t>TOW(3)</t>
  </si>
  <si>
    <t>TOW(4)</t>
  </si>
  <si>
    <t>TOW(5)</t>
  </si>
  <si>
    <t>TOW(8)</t>
  </si>
  <si>
    <t>TOW(9)</t>
  </si>
  <si>
    <t>TOW(10)</t>
  </si>
  <si>
    <t>TOW(12)</t>
  </si>
  <si>
    <t>TOW(14)</t>
  </si>
  <si>
    <t>TOW(17)</t>
  </si>
  <si>
    <t>TOW(18)</t>
  </si>
  <si>
    <t>TOW(21)</t>
  </si>
  <si>
    <t>TOW(22)</t>
  </si>
  <si>
    <t>TOW(23)</t>
  </si>
  <si>
    <t>TOW(24)</t>
  </si>
  <si>
    <t>TOW(26)</t>
  </si>
  <si>
    <t>TOW(28)</t>
  </si>
  <si>
    <t>TOW(37)</t>
  </si>
  <si>
    <t>TOW(38)</t>
  </si>
  <si>
    <t>TOW(42)</t>
  </si>
  <si>
    <t>TOW(1)</t>
  </si>
  <si>
    <t>TOW(13)</t>
  </si>
  <si>
    <t>TOW(15)</t>
  </si>
  <si>
    <t>TOW(16)</t>
  </si>
  <si>
    <t>TOW(29)</t>
  </si>
  <si>
    <t>TOW(32)</t>
  </si>
  <si>
    <t>TOW(43)</t>
  </si>
  <si>
    <t>TOW(35)</t>
  </si>
  <si>
    <t>DER(1)</t>
  </si>
  <si>
    <t>DER(5)</t>
  </si>
  <si>
    <t>DER(7)</t>
  </si>
  <si>
    <t>DER(9)</t>
  </si>
  <si>
    <t>DER(14)</t>
  </si>
  <si>
    <t>DER(22)</t>
  </si>
  <si>
    <t>DER(23)</t>
  </si>
  <si>
    <t>DER(3)</t>
  </si>
  <si>
    <t>DER(12)</t>
  </si>
  <si>
    <t>DER(15)</t>
  </si>
  <si>
    <t>DER(19)</t>
  </si>
  <si>
    <t>DER(27)</t>
  </si>
  <si>
    <t>DER(2)</t>
  </si>
  <si>
    <t>DER(4)</t>
  </si>
  <si>
    <t>DER(6)</t>
  </si>
  <si>
    <t>DER(8)</t>
  </si>
  <si>
    <t>DER(13)</t>
  </si>
  <si>
    <t>DER(18)</t>
  </si>
  <si>
    <t>DER(24)</t>
  </si>
  <si>
    <t>DER(25)</t>
  </si>
  <si>
    <t>DER(26)</t>
  </si>
  <si>
    <t>DER(16)</t>
  </si>
  <si>
    <t>DER(20)</t>
  </si>
  <si>
    <t>DER(28)</t>
  </si>
  <si>
    <t>DER(10)</t>
  </si>
  <si>
    <t>DER(17)</t>
  </si>
  <si>
    <t>DER(21)</t>
  </si>
  <si>
    <t>DER(11)</t>
  </si>
  <si>
    <t>REST(1)</t>
  </si>
  <si>
    <t>REST(2)</t>
  </si>
  <si>
    <t>Daisy Bradford #3 discovery well</t>
  </si>
  <si>
    <t>Humphrey Jones No 1</t>
  </si>
  <si>
    <t>Longview - Lathrop Well</t>
  </si>
  <si>
    <t>Jarman Number 1 Discovery Well</t>
  </si>
  <si>
    <t>The Joiner No 3 Daisy Bradford</t>
  </si>
  <si>
    <t>Snavely #1 Gladewater Discovery Well</t>
  </si>
  <si>
    <t>Santa Rite No 1 Drill Rig</t>
  </si>
  <si>
    <t>Talco Historical Museum</t>
  </si>
  <si>
    <t>WH Abrams Well No 1 Brazoria County</t>
  </si>
  <si>
    <t>Moonshine Hill</t>
  </si>
  <si>
    <t>Baytown Oil Field Pump Jack</t>
  </si>
  <si>
    <t>Cottle No 1</t>
  </si>
  <si>
    <t>First Producing Well West Texas</t>
  </si>
  <si>
    <t>McClesky Park</t>
  </si>
  <si>
    <t>Petrolia</t>
  </si>
  <si>
    <t>Archer County Discovery Well</t>
  </si>
  <si>
    <t>Cable Tool Oil Field</t>
  </si>
  <si>
    <t>Cool Ranch Oil Field</t>
  </si>
  <si>
    <t>Felty Outdoor Oil Museum</t>
  </si>
  <si>
    <t>Nocona - Tails n Trails Museum</t>
  </si>
  <si>
    <t>Gulf Burnet #2</t>
  </si>
  <si>
    <t>Gulf Dial #1 Oil Well</t>
  </si>
  <si>
    <t>National Ranching Heritage Center</t>
  </si>
  <si>
    <t>Andrews County Discovery Well</t>
  </si>
  <si>
    <t>Crockett County first producing well marker</t>
  </si>
  <si>
    <t>Denver City - Wassom Field Discovery Well</t>
  </si>
  <si>
    <t>First Commercial well Permian basin</t>
  </si>
  <si>
    <t>Howard County first commercial oil well</t>
  </si>
  <si>
    <t>Rodman-Noel Oil field</t>
  </si>
  <si>
    <t>Texon Oil Derrick</t>
  </si>
  <si>
    <t>Wier No 1 oil well</t>
  </si>
  <si>
    <t>Winkler County Discovery Well</t>
  </si>
  <si>
    <t>Church and Fields Oil Discovery Well</t>
  </si>
  <si>
    <t>First Producing Well in Coke County</t>
  </si>
  <si>
    <t>Ector County Discovery Well</t>
  </si>
  <si>
    <t>Permian Basin Petroleum Museum</t>
  </si>
  <si>
    <t>Batson Oil Field</t>
  </si>
  <si>
    <t>Rafael Rios No 1</t>
  </si>
  <si>
    <t>Refugio - Mission River Park drill site</t>
  </si>
  <si>
    <t>Mirando City</t>
  </si>
  <si>
    <t>Spindletop Park</t>
  </si>
  <si>
    <t>Orangefield</t>
  </si>
  <si>
    <t>Frank Hamer - Austin Memorial Park Cemetery</t>
  </si>
  <si>
    <t>Henderson</t>
  </si>
  <si>
    <t>JK Hughes - Blair Stubbs</t>
  </si>
  <si>
    <t>Julius Desenberg</t>
  </si>
  <si>
    <t>Lyne Barrett</t>
  </si>
  <si>
    <t>Columbus Marion Joiner</t>
  </si>
  <si>
    <t>Confederate Reunion Fairgrounds</t>
  </si>
  <si>
    <t>Joseph Cullinan residence</t>
  </si>
  <si>
    <t>Clint Murchison Memorial Library</t>
  </si>
  <si>
    <t>Lou Della Crim</t>
  </si>
  <si>
    <t>Winter Garden Casino and Dance Hall</t>
  </si>
  <si>
    <t>New London</t>
  </si>
  <si>
    <t>Pegasus</t>
  </si>
  <si>
    <t>Joe Roughneck - Kilgore</t>
  </si>
  <si>
    <t>Richardson Petroleum Engineering Building</t>
  </si>
  <si>
    <t>Corsicana</t>
  </si>
  <si>
    <t>Joe Roughneck - Joinerville</t>
  </si>
  <si>
    <t>Joseph Stephen Cullinan</t>
  </si>
  <si>
    <t>Conroe Crater Lake</t>
  </si>
  <si>
    <t>John H McClesky</t>
  </si>
  <si>
    <t>Stephen Bethel Strawn</t>
  </si>
  <si>
    <t>Barnett Settlement</t>
  </si>
  <si>
    <t>Joseph Sterling Bridwell</t>
  </si>
  <si>
    <t>Boomtown Steak, Fish, BBQ</t>
  </si>
  <si>
    <t>Albany Old Jail Art Center</t>
  </si>
  <si>
    <t>Breckenridge</t>
  </si>
  <si>
    <t>W.W. Sterling</t>
  </si>
  <si>
    <t>Borger</t>
  </si>
  <si>
    <t>Govenor Dan Moody</t>
  </si>
  <si>
    <t>John A Holmes</t>
  </si>
  <si>
    <t>Denver City</t>
  </si>
  <si>
    <t>Ector County's First Dry Hole</t>
  </si>
  <si>
    <t>Benedum Oil Field and townsite</t>
  </si>
  <si>
    <t>Daisetta Sinkhole</t>
  </si>
  <si>
    <t>Beaumont YMCA</t>
  </si>
  <si>
    <t>Pattillo Higgins</t>
  </si>
  <si>
    <t>World's Largest Working Fire Hydrant</t>
  </si>
  <si>
    <t>Oil Springs Oil Tank</t>
  </si>
  <si>
    <t>Mexia Oil Boom</t>
  </si>
  <si>
    <t>Wortham First Oil site</t>
  </si>
  <si>
    <t>Comstock Oil and Gas Dorothy Unit</t>
  </si>
  <si>
    <t>Powell Oil Field</t>
  </si>
  <si>
    <t>Talco Cemetery</t>
  </si>
  <si>
    <t>Wortham Oil Boom</t>
  </si>
  <si>
    <t>Clemville</t>
  </si>
  <si>
    <t>Goose Creek Jail</t>
  </si>
  <si>
    <t>Somerville - Yegua Creek</t>
  </si>
  <si>
    <t>Clara</t>
  </si>
  <si>
    <t>Bullock</t>
  </si>
  <si>
    <t>Burkburnett</t>
  </si>
  <si>
    <t>Bridgetown</t>
  </si>
  <si>
    <t>Desdemona callaboose (jail</t>
  </si>
  <si>
    <t>Eliasville</t>
  </si>
  <si>
    <t>Fort Blair (pre-oil days) of Desdemona</t>
  </si>
  <si>
    <t>Gunsight</t>
  </si>
  <si>
    <t>Ibex</t>
  </si>
  <si>
    <t>Megargel</t>
  </si>
  <si>
    <t>Merriman Baptist Church</t>
  </si>
  <si>
    <t>Moran</t>
  </si>
  <si>
    <t>Necessity</t>
  </si>
  <si>
    <t>Caddo</t>
  </si>
  <si>
    <t>Olden (Olden Switch)</t>
  </si>
  <si>
    <t>Parks Camp</t>
  </si>
  <si>
    <t>Ranger- First Oil Well</t>
  </si>
  <si>
    <t>Thrift - Northwest Oilfield Extension</t>
  </si>
  <si>
    <t>Thurber chimney</t>
  </si>
  <si>
    <t>Anarene</t>
  </si>
  <si>
    <t>Borger's First Jail</t>
  </si>
  <si>
    <t>Frankel City</t>
  </si>
  <si>
    <t>McCamey</t>
  </si>
  <si>
    <t>TP Tavern</t>
  </si>
  <si>
    <t>Rankin Cemetery</t>
  </si>
  <si>
    <t>Sterling City</t>
  </si>
  <si>
    <t>Goldsmith</t>
  </si>
  <si>
    <t>Tilden</t>
  </si>
  <si>
    <t>East Texas Oil Museum</t>
  </si>
  <si>
    <t>Kilgore East Derrick</t>
  </si>
  <si>
    <t>Kilgore Oil Derrick Forest</t>
  </si>
  <si>
    <t>Petroleum Industry Park</t>
  </si>
  <si>
    <t>Kilgore - World's Richest Acre</t>
  </si>
  <si>
    <t>Tyler picnic area oil derricks</t>
  </si>
  <si>
    <t>Roadside Park Oil Derrick</t>
  </si>
  <si>
    <t>Egypt Road Sign</t>
  </si>
  <si>
    <t>Texas City Water Buoy</t>
  </si>
  <si>
    <t>Beaumont No 54 Oil Derrick</t>
  </si>
  <si>
    <t>Humble Oil Derrick Clock</t>
  </si>
  <si>
    <t>Tomball Park Derrick Fountain</t>
  </si>
  <si>
    <t>Eastland County Museum</t>
  </si>
  <si>
    <t>Electra Oil Derrick Picnic Spot</t>
  </si>
  <si>
    <t>Burkburnett Oil Derricks</t>
  </si>
  <si>
    <t>Palo Pinto County Historical Museum</t>
  </si>
  <si>
    <t>wichita falls oil derrick on bike wheel</t>
  </si>
  <si>
    <t>Mural on building in Early, TX</t>
  </si>
  <si>
    <t>Oil Derricks roadside</t>
  </si>
  <si>
    <t>Olney Mural</t>
  </si>
  <si>
    <t>Ranger oil derrick</t>
  </si>
  <si>
    <t>Bob's Oil Well</t>
  </si>
  <si>
    <t>Iraan</t>
  </si>
  <si>
    <t>Oil Derrick - Midland</t>
  </si>
  <si>
    <t>Sour Lake Oil Derrick</t>
  </si>
  <si>
    <t>Corpus Christi</t>
  </si>
  <si>
    <t>Luling Oil Derrick</t>
  </si>
  <si>
    <t>Spindletop Gladys City Boomtown Museum</t>
  </si>
  <si>
    <t>Anytime</t>
  </si>
  <si>
    <t>Sunrise to Sunset</t>
  </si>
  <si>
    <t>10a-5p</t>
  </si>
  <si>
    <t>7a-7p</t>
  </si>
  <si>
    <t>Daylight only</t>
  </si>
  <si>
    <t>4a-4p</t>
  </si>
  <si>
    <t>7a-5:30p</t>
  </si>
  <si>
    <t>10a-2p</t>
  </si>
  <si>
    <t>EQUIPMENT</t>
  </si>
  <si>
    <t>EAST TEXAS</t>
  </si>
  <si>
    <t>HUMBLE</t>
  </si>
  <si>
    <t>NORTH TEXAS</t>
  </si>
  <si>
    <t>PANHANDLE</t>
  </si>
  <si>
    <t>PERMIAN BASIN &amp; BIG LAKE</t>
  </si>
  <si>
    <t>SOUR LAKE</t>
  </si>
  <si>
    <t>SOUTHERN COASTAL</t>
  </si>
  <si>
    <t>SPINDLETOP</t>
  </si>
  <si>
    <t>LABOR/TRAINING</t>
  </si>
  <si>
    <t>LAND LEASES</t>
  </si>
  <si>
    <t>OIL PRODUCTION</t>
  </si>
  <si>
    <t>Take a picture of the centennial marker at this location for the Daisy Bradford #3 discovery well.</t>
  </si>
  <si>
    <t>Take a picture to the entrance of the Eutaw Cemetery.</t>
  </si>
  <si>
    <t>Take a picture of the production pump jack at this location.</t>
  </si>
  <si>
    <t>Take a picture of the historical marker at this location with the pump jack visible in the background.  Be mindful of the residences nearby if taking at night.</t>
  </si>
  <si>
    <t>Take a picture of the historical marker for the Joiner No 3 Daisy Bradford.</t>
  </si>
  <si>
    <t>Take a picture of the historical marker with the drill rig visible in the background.</t>
  </si>
  <si>
    <t>Take a picture of the marker for the Santa Rita No 1 with the drill rig in the background and visible.</t>
  </si>
  <si>
    <t>Take a picture of the pump jack in front of the museum.  You can get closer and take a different angle than the reference photo but nothing further away.</t>
  </si>
  <si>
    <t>Take a picture of the discovery well historical marker.</t>
  </si>
  <si>
    <t>Take a picture of the historical marker for Moonshine Hill.</t>
  </si>
  <si>
    <t>Take a picture of the sign on the pump jack.</t>
  </si>
  <si>
    <t>Take a picture of the historical marker for the Cottle No 1.</t>
  </si>
  <si>
    <t>Take a picture of the replica derrick at this location.</t>
  </si>
  <si>
    <t>Take a picture of the park entrance with the historical markers visible next to the gate.</t>
  </si>
  <si>
    <t>Take a picture of the marker for the Henrietta Petrolia oil field.</t>
  </si>
  <si>
    <t>Take a picture of the historical marker for the Archer County Discovery Well.</t>
  </si>
  <si>
    <t>Take a picture of the historical marker for the Cable Tool Oil Field at this location.  Yes, there are dirt roads.  Yes, you can get to it.  Please be aware you're on ranch property.  Represent us well.</t>
  </si>
  <si>
    <t>Take a picture of the Cook Ranch Oil Field historical marker with the drill rig prominently, and clearly visible, in the background.  If taking at night, be aware of the lighting to ensure the drill rig is definable.</t>
  </si>
  <si>
    <t>Take a picture of the 1912 Star Spudder drill rig.  You can get a picture of either side.  If it is night and the museum is closed, park off the highway and get a picture from the roadside.  Do not trespass.</t>
  </si>
  <si>
    <t>Take a picture of the drill rig located on the museum grounds.</t>
  </si>
  <si>
    <t>Take a picture of the historical markers at this location noting the Gulf Burnet #2 discovery well.</t>
  </si>
  <si>
    <t>Take a picture of the historical marker for the Gulf Dial #1.</t>
  </si>
  <si>
    <t>Admission is free. Locate and take a photograph of the old drill rig set-up on the museum grounds.</t>
  </si>
  <si>
    <t>Take a picture of the derrick/historical marker for the Andrews County Discovery Well.</t>
  </si>
  <si>
    <t>Take a picture of the historical marker for the first producing well in Crockett County.</t>
  </si>
  <si>
    <t>Take a picture of the marker for the discovery well for the Wasson oil field.</t>
  </si>
  <si>
    <t>Take a picture of the historical marker for the Permian Basin discovery well.</t>
  </si>
  <si>
    <t>Take a picture of the sign for Howard-Glasscock Field.</t>
  </si>
  <si>
    <t>Take a picture of the oil field historical marker.</t>
  </si>
  <si>
    <t>Take a picture of the marker plates at the Texon discovery site.</t>
  </si>
  <si>
    <t>Take a picture of the Wier No 1 oil well marker.</t>
  </si>
  <si>
    <t>Take a picture of the historical marker for the Winkler County Discovery Well.</t>
  </si>
  <si>
    <t>Take a picture of the historical marker for the Church &amp; Field Discovery Well.</t>
  </si>
  <si>
    <t>Take a picture of the first producing oil well historical marker.</t>
  </si>
  <si>
    <t>Take a picture of the drill rig on the east side of the museum.  Night pictures need to be clear.  Museum hours are 10a-5p, but the lot is ungated.  If contacted, please be polite and contact rally staff with issues.</t>
  </si>
  <si>
    <t>Find and take a picture of the Batson Enterprise's Well #392 sign.  Good luck.</t>
  </si>
  <si>
    <t>Take a picture of the metal derrick here.</t>
  </si>
  <si>
    <t>Take a picture of the steel trestle at the southeast corner of the Mission River Park.</t>
  </si>
  <si>
    <t>Find the antique drill rig located at this location.  Contact rally staff if there are issues.</t>
  </si>
  <si>
    <t>On the central platform, take a picture of the display reading 'Boomtown - Life on the hill'.</t>
  </si>
  <si>
    <t>Take a picture of the historical marker at the base of the wooden oil derrick.</t>
  </si>
  <si>
    <t>Take a picture of the gravestone of Frank Hamer.</t>
  </si>
  <si>
    <t>Take a picture of the historical marker for Henderson.</t>
  </si>
  <si>
    <t>Take a picture of the Blair Stubbs sign.</t>
  </si>
  <si>
    <t>Take a picture of the gravestone for Julius Desenberg in the Jewish portion of the Mexia Cemetery.</t>
  </si>
  <si>
    <t>Take a picture of the marker and gravestone of Lyne Barret.</t>
  </si>
  <si>
    <t>In the mausoleum is located the crypt for 'Dad' Joiner.  Locate it and take a picture.  Please use proper etiquette in this facility.</t>
  </si>
  <si>
    <t>Take a picture of the historical marker in front of the park entry.  You do not need to go inside or pay.</t>
  </si>
  <si>
    <t>Take a picture of the marker for Joseph Cullinan at this location.</t>
  </si>
  <si>
    <t>Take a picture of the entry to the Clint Murchison Memorial Library</t>
  </si>
  <si>
    <t>Take a picture of the Lou Della Crim historical marker.</t>
  </si>
  <si>
    <t>Take a picture of the sign over the door of the Outsiders Private Club.</t>
  </si>
  <si>
    <t>Take a picture of the memorial monument to the New London children.  If taken at night, the column must be clearly visible.  You can park right in front of the school.  Do not drive on the grass or the sidewalk.</t>
  </si>
  <si>
    <t>Take a picture of Pegasus atop the derrick.</t>
  </si>
  <si>
    <t>Take a picture of the Joe Roughneck bust.</t>
  </si>
  <si>
    <t>Take a picture of the Texas A&amp;M Roughneck statue.</t>
  </si>
  <si>
    <t>Take a picture of the oil field worker statue on the street in Corsicana.</t>
  </si>
  <si>
    <t>Take a picture of Joe Roughneck atop the tall pole.  Use the reference photo as guidance.</t>
  </si>
  <si>
    <t>Take a picture of the gravestone for Joseph Cullinan.</t>
  </si>
  <si>
    <t>At the grid coordinates, the crater lake is on the east side of the road and likely not visible.  Take a picture of the structure on the west side of the road and 400 feet north.</t>
  </si>
  <si>
    <t>Take a picture of the Merriman Cemetery sign which mentions John McClesky.  He is buried here.</t>
  </si>
  <si>
    <t>Take a picture of the two markers for Strawn.</t>
  </si>
  <si>
    <t>Take a picture of the Barnett-Hamrick historical marker.</t>
  </si>
  <si>
    <t>Take a picture of the historical marker for Bridwell Park.</t>
  </si>
  <si>
    <t>Take a picture of the producing oil derrick on the exterior wall of the (now closed) Boomtown Café.</t>
  </si>
  <si>
    <t>Take a picture of the roughneck statue.</t>
  </si>
  <si>
    <t>Take a picture of the oil field worker.  He's behind the fence, so just do your best to make him visible in the picture.</t>
  </si>
  <si>
    <t>Take a picture of the marker for W.W. Sterling at this location.</t>
  </si>
  <si>
    <t>Take a picture of the marker for the Ace Borger home.  This is in front of a private residence but as long as you legally park and use the sidewalk, you can get the picture.</t>
  </si>
  <si>
    <t>Take a picture of the historical marker for Governor Dan Moody.</t>
  </si>
  <si>
    <t>Locate the grave for John Holmes and take a picture of the headstone and historical marker.</t>
  </si>
  <si>
    <t>Take a picture of the 1975 Denver City disaster historical marker.  Pump jack in the background is optional.</t>
  </si>
  <si>
    <t>Take a picture of the historical marker at this location.</t>
  </si>
  <si>
    <t>Take a picture of the historical marker for the Benedum Oil Field.</t>
  </si>
  <si>
    <t>Take a picture of the Daisetta city limit sign which is right next to the sinkhole.  Other Daisetta city limit signs will not be accepted.</t>
  </si>
  <si>
    <t>Take a picture of the sign in front of 930 Calder Ave in Beaumont.</t>
  </si>
  <si>
    <t>Take a picture of the Higgins family bench.</t>
  </si>
  <si>
    <t>Take a picture of the extremely large fire hydrant.</t>
  </si>
  <si>
    <t>Take a picture of the oil tank and make sure the words 'Texas First Oilfield   1866" are clearly visible.</t>
  </si>
  <si>
    <t>Take a picture of the Mexia Oil Boom historical marker.</t>
  </si>
  <si>
    <t>Take a picture of the two production tanks at this location.</t>
  </si>
  <si>
    <t>Take a photograph of the Comstock Oil and Gas Dorothy Unit #1-H lease card.</t>
  </si>
  <si>
    <t>Take a picture of the Powell historical marker.</t>
  </si>
  <si>
    <t>Take a picture of the historical marker and veterans' memorial at the Talco Cemetery.</t>
  </si>
  <si>
    <t>Take a picture of the Wortham Oil Boom historical marker.</t>
  </si>
  <si>
    <t>Take a picture of the historical marker for Clemville.</t>
  </si>
  <si>
    <t>Take a picture of the building where the words 'Goose Creek Jail' are clearly visible.</t>
  </si>
  <si>
    <t>Take a picture of the historical marker for Clara.</t>
  </si>
  <si>
    <t>Take a picture of the entry to Bullock Cemetery.</t>
  </si>
  <si>
    <t>Take a picture of the historical marker for Burkburnett.  The road to this bonus can get you to the oil derrick bonus just a few hundred feet away.</t>
  </si>
  <si>
    <t>Take a picture of the historical marker for Bridgetown.</t>
  </si>
  <si>
    <t>Take a picture of the old Desdemona jail.</t>
  </si>
  <si>
    <t>Take a picture of the Donnell Mill marker in Eliasville.</t>
  </si>
  <si>
    <t>Take a picture of the Fort Blair historical marker.</t>
  </si>
  <si>
    <t>Take a picture of the historical marker for the Gunsight Community.</t>
  </si>
  <si>
    <t>Take a picture of the historical marker for Ibex.</t>
  </si>
  <si>
    <t>Take a picture of the historical marker for Megargel including the marker for the 1927 Megargel Bluebird Band.</t>
  </si>
  <si>
    <t>Take a picture of the front of the Merriman Baptist Church with your entire motorcycle in the picture.</t>
  </si>
  <si>
    <t>Take a picture of the historical marker for Moran.</t>
  </si>
  <si>
    <t>Take a picture of the stone marker for Necessity Cemetery.</t>
  </si>
  <si>
    <t>The closest thing we found for Caddo, TX other than the post office is this historical marker about outlaw Sam Bass.  Take a picture of the historical marker.</t>
  </si>
  <si>
    <t>Take a picture of the front of the old Olden School.</t>
  </si>
  <si>
    <t>Take a picture of the historical marker here.</t>
  </si>
  <si>
    <t>Take a picture of the centennial marker for the first oil well drilled in Eastland County.</t>
  </si>
  <si>
    <t>Take a picture of the Thrift and Northwest Oilfield Extension historical markers.</t>
  </si>
  <si>
    <t>Take a picture of the Thurber smokestack.</t>
  </si>
  <si>
    <t>Take a picture of the Anarene historical marker.</t>
  </si>
  <si>
    <t>Take a picture of the sign for the 1929 Borger jail.</t>
  </si>
  <si>
    <t>Take a picture of the historical marker for Frankel City.</t>
  </si>
  <si>
    <t>Take a picture of the McCamey marker.</t>
  </si>
  <si>
    <t>Take a picture of the TP Tavern marker.</t>
  </si>
  <si>
    <t>Take a picture of the historical marker for Rankin Cemetery.</t>
  </si>
  <si>
    <t>Take a picture of the large Texas art in front of the Sterling County Court House.</t>
  </si>
  <si>
    <t>Take a picture of the Goldsmith historical marker.</t>
  </si>
  <si>
    <t>Take a picture of the historical marker for Tilden.</t>
  </si>
  <si>
    <t>Take a picture of the front door of the East Texas Oil Musuem with the oil derricks in the picture (just like reference photo).</t>
  </si>
  <si>
    <t>At the coordinates is a replica derrick.  Get a picture from a safe location.</t>
  </si>
  <si>
    <t>Take a picture of the oil derrick forest from the coordinates provided.  It must be light enough to see numerous derricks in the background.</t>
  </si>
  <si>
    <t>Take a picture in the middle of the steel derrick looking up.  If taken at night, it MUST be well-illuminated to to the top.</t>
  </si>
  <si>
    <t>Take a picture of the historical marker for the World's Richest Acre.</t>
  </si>
  <si>
    <t>Take a picture with at least two oil derricks in this roadside park clearly and distinctly visible in the picture.  If taken at night, you may have to be creative with illumination.</t>
  </si>
  <si>
    <t>Take a picture of the roadside park oil derrick which is next to the historical marker.  Make sure the historical marker can also be seen in the photo (see reference picture).</t>
  </si>
  <si>
    <t>Take a picture of the roadside bilboard making sure the oil derrick is fully visible.</t>
  </si>
  <si>
    <t>Next to the jetty road is a buoy shaped like an oil derrick.  Get the best picture possible.  If taken at night, it must illuminated to be recognizable.</t>
  </si>
  <si>
    <t>From the parking lot at this location, get a picture of the oil derrick.  Nighttime picture are allowed, but you must get creative with the lighting because the whole derrick must be recognizable.</t>
  </si>
  <si>
    <t>Take a picture of the street clock designed to immitate an oil derrick.</t>
  </si>
  <si>
    <t>Take a picture of the park fountain shaped like an oil derrick.</t>
  </si>
  <si>
    <t>Take a picture of the inside of the county museum with the oil derrick art on the support column prominently visible.</t>
  </si>
  <si>
    <t>Take a picture of the oil derrick at this location.</t>
  </si>
  <si>
    <t>Take a picture of the oil derricks and sign on the southbound side of I-44.  Do not stop on the highway shoulder.</t>
  </si>
  <si>
    <t>Take a picture of the oil derrick located on the entry gate at this museum.  You are going to have to get close.</t>
  </si>
  <si>
    <t>This street art has an oil derrick and pump jack design on the "bicycle" wheels.  Take a picture of the bicycle.</t>
  </si>
  <si>
    <t>Take a picture of the mural making sure the oil derricks are easily seen in the picture.</t>
  </si>
  <si>
    <t>Take a picture of one (or more) of the oil derricks at this roadside park.</t>
  </si>
  <si>
    <t>Take a picture of the mural in Olney with the oil derricks clearly visible.</t>
  </si>
  <si>
    <t>Take a picture of the replica derrick with the Ranger sign on top.  You can get closer to the sign than the reference photo.</t>
  </si>
  <si>
    <t>Get a picture of the building "Bob's Oil Well" that has a derrick on top.  You do not have to get the whole derrick in the picture.</t>
  </si>
  <si>
    <t>Take a picture of the oil derrick next to the recreational park.  If at night, the derrick must be illuminated to be clear and distinct.</t>
  </si>
  <si>
    <t>Take a picture of the roadside derrick at these coordinates.</t>
  </si>
  <si>
    <t>Take a picture of the wooden derrick next to the Frank H Carpenter Central Fire Station.</t>
  </si>
  <si>
    <t>You do not have to go to the exact coordinates.  Day or night, get a clear picture of an ocean oil production platform with a recognizable steel structure located within 15 miles of Corpus Christi.</t>
  </si>
  <si>
    <t>Take a picture of the bottom of the derrick with the sign for the oil museum prominently in the photo.</t>
  </si>
  <si>
    <t>Take a picture of the wooden derrick on the right side of the entry lane.  Be sure it is well-illuminated.</t>
  </si>
  <si>
    <t>Thursday Rest Bonus</t>
  </si>
  <si>
    <t>Friday Rest Bonus</t>
  </si>
  <si>
    <t>Apr 25 8p - Apr 26 6a</t>
  </si>
  <si>
    <t>Apr 26 8p - Apr 27 6a</t>
  </si>
  <si>
    <t>MEALS</t>
  </si>
  <si>
    <t>Address</t>
  </si>
  <si>
    <t>City</t>
  </si>
  <si>
    <t>Phone Number</t>
  </si>
  <si>
    <t>X01A</t>
  </si>
  <si>
    <t>El Jalisiense</t>
  </si>
  <si>
    <t>1915 E Main St</t>
  </si>
  <si>
    <t>Alice</t>
  </si>
  <si>
    <t>(361) 661-0911</t>
  </si>
  <si>
    <t>X02A</t>
  </si>
  <si>
    <t>Mookie's Mesquite Patch BBQ</t>
  </si>
  <si>
    <t>102 N 1st St</t>
  </si>
  <si>
    <t>Coolidge</t>
  </si>
  <si>
    <t>(254) 786-2003</t>
  </si>
  <si>
    <t>X03A</t>
  </si>
  <si>
    <t>Hole in the Wall Café</t>
  </si>
  <si>
    <t>206 Carothers Ave</t>
  </si>
  <si>
    <t>Rochester</t>
  </si>
  <si>
    <t>(940) 742-4066</t>
  </si>
  <si>
    <t>X04A</t>
  </si>
  <si>
    <t>Heart of Texas Grill</t>
  </si>
  <si>
    <t>102 E Columbus</t>
  </si>
  <si>
    <t>San Augustine</t>
  </si>
  <si>
    <t>(936) 288-3722</t>
  </si>
  <si>
    <t>X05A</t>
  </si>
  <si>
    <t>JJ's Roadhouse</t>
  </si>
  <si>
    <t>3261 FM 933</t>
  </si>
  <si>
    <t>Whitney</t>
  </si>
  <si>
    <t>(254) 694-6131</t>
  </si>
  <si>
    <t>X06B</t>
  </si>
  <si>
    <t>Coyote Bluff Café</t>
  </si>
  <si>
    <t>2417 S Grand St</t>
  </si>
  <si>
    <t>Amarillo</t>
  </si>
  <si>
    <t>(806) 373-4640</t>
  </si>
  <si>
    <t>X07B</t>
  </si>
  <si>
    <t>Kott's Café</t>
  </si>
  <si>
    <t>1059 TX-90</t>
  </si>
  <si>
    <t>Anderson</t>
  </si>
  <si>
    <t>(936) 873-2022</t>
  </si>
  <si>
    <t>X08B</t>
  </si>
  <si>
    <t>Texas Chili Parlor</t>
  </si>
  <si>
    <t>1409 Lavaca St</t>
  </si>
  <si>
    <t>Austin</t>
  </si>
  <si>
    <t>(512) 472-2828</t>
  </si>
  <si>
    <t>X09B</t>
  </si>
  <si>
    <t>Maxines on Main</t>
  </si>
  <si>
    <t>905 Main St</t>
  </si>
  <si>
    <t>Bastrop</t>
  </si>
  <si>
    <t>(512) 303-0919</t>
  </si>
  <si>
    <t>X10B</t>
  </si>
  <si>
    <t>Whistle Stop Café</t>
  </si>
  <si>
    <t>904 US-81 Business</t>
  </si>
  <si>
    <t>Decatur</t>
  </si>
  <si>
    <t>(940) 627-7785</t>
  </si>
  <si>
    <t>X11B</t>
  </si>
  <si>
    <t>Cowboy's Restaurant</t>
  </si>
  <si>
    <t>7345 US-90</t>
  </si>
  <si>
    <t>D'Hanis</t>
  </si>
  <si>
    <t>(830) 363-2282</t>
  </si>
  <si>
    <t>X12B</t>
  </si>
  <si>
    <t>Granny's Restaurant</t>
  </si>
  <si>
    <t>720 S Rockdale St</t>
  </si>
  <si>
    <t>Lexington</t>
  </si>
  <si>
    <t>(979) 773-9463</t>
  </si>
  <si>
    <t>X13B</t>
  </si>
  <si>
    <t>Losts Maples Café</t>
  </si>
  <si>
    <t>384 Main St</t>
  </si>
  <si>
    <t>Utopia</t>
  </si>
  <si>
    <t>(830) 966-2221</t>
  </si>
  <si>
    <t>X14B</t>
  </si>
  <si>
    <t>Czech-American Restaurant</t>
  </si>
  <si>
    <t>220 N Main St</t>
  </si>
  <si>
    <t>West</t>
  </si>
  <si>
    <t>(254) 826-3008</t>
  </si>
  <si>
    <t>X15C</t>
  </si>
  <si>
    <t>Trump Burger</t>
  </si>
  <si>
    <t>233 S Front St</t>
  </si>
  <si>
    <t>Bellville</t>
  </si>
  <si>
    <t>(979) 270-5062</t>
  </si>
  <si>
    <t>X16C</t>
  </si>
  <si>
    <t>Grandma's Café</t>
  </si>
  <si>
    <t>400 Andrews Hwy</t>
  </si>
  <si>
    <t>Crane</t>
  </si>
  <si>
    <t>(432) 558-7488</t>
  </si>
  <si>
    <t>X17C</t>
  </si>
  <si>
    <t>Bahnhof Café</t>
  </si>
  <si>
    <t>213 W Main St</t>
  </si>
  <si>
    <t>Cuero</t>
  </si>
  <si>
    <t>(361) 275-2211</t>
  </si>
  <si>
    <t>X18C</t>
  </si>
  <si>
    <t>7th St Restaurant</t>
  </si>
  <si>
    <t>754 7th St</t>
  </si>
  <si>
    <t>Cushing</t>
  </si>
  <si>
    <t>(936) 326-8457</t>
  </si>
  <si>
    <t>X19C</t>
  </si>
  <si>
    <t>CJs Café</t>
  </si>
  <si>
    <t>310 E Latimer St</t>
  </si>
  <si>
    <t>Detroit</t>
  </si>
  <si>
    <t>(214) 668-6771</t>
  </si>
  <si>
    <t>X20C</t>
  </si>
  <si>
    <t>Joe's Place</t>
  </si>
  <si>
    <t>120 N Live Oak St</t>
  </si>
  <si>
    <t>Fayetteville</t>
  </si>
  <si>
    <t>(979) 378-9035</t>
  </si>
  <si>
    <t>X21C</t>
  </si>
  <si>
    <t>Johnny Rebs Dixie Café</t>
  </si>
  <si>
    <t>708 S Market St</t>
  </si>
  <si>
    <t>Hearne</t>
  </si>
  <si>
    <t>(979) 279-5171</t>
  </si>
  <si>
    <t>X22C</t>
  </si>
  <si>
    <t>Koffee Kup</t>
  </si>
  <si>
    <t>200 W 2nd St</t>
  </si>
  <si>
    <t>Hico</t>
  </si>
  <si>
    <t>(254) 796-4839</t>
  </si>
  <si>
    <t>X23C</t>
  </si>
  <si>
    <t>Texan Café</t>
  </si>
  <si>
    <t>207 East St</t>
  </si>
  <si>
    <t>Hutto</t>
  </si>
  <si>
    <t>(512) 846-2885</t>
  </si>
  <si>
    <t>X24C</t>
  </si>
  <si>
    <t>Zeytin Mediterranean</t>
  </si>
  <si>
    <t>114 E SH 114 #100</t>
  </si>
  <si>
    <t>Irving</t>
  </si>
  <si>
    <t>(972) 887-2000</t>
  </si>
  <si>
    <t>X25C</t>
  </si>
  <si>
    <t>Isaacks</t>
  </si>
  <si>
    <t>1606 Main St</t>
  </si>
  <si>
    <t>Junction</t>
  </si>
  <si>
    <t>(325) 446-2629</t>
  </si>
  <si>
    <t>X26C</t>
  </si>
  <si>
    <t>Cooper's Old Time Pit BBQ</t>
  </si>
  <si>
    <t>604 W Young St</t>
  </si>
  <si>
    <t>Llano</t>
  </si>
  <si>
    <t>(325) 247-5713</t>
  </si>
  <si>
    <t>X27C</t>
  </si>
  <si>
    <t>Arnold's Family Restaurant</t>
  </si>
  <si>
    <t>206 N Main St</t>
  </si>
  <si>
    <t>Lone Star</t>
  </si>
  <si>
    <t>(903) 656-3405</t>
  </si>
  <si>
    <t>X28C</t>
  </si>
  <si>
    <t>Blue Bonnet Café</t>
  </si>
  <si>
    <t>211 US-281</t>
  </si>
  <si>
    <t>Marble Falls</t>
  </si>
  <si>
    <t>(830) 693-2344</t>
  </si>
  <si>
    <t>X29C</t>
  </si>
  <si>
    <t>Smokestack Restaurant</t>
  </si>
  <si>
    <t>239 Private Road 741</t>
  </si>
  <si>
    <t>Thurber</t>
  </si>
  <si>
    <t>(254) 672-5560</t>
  </si>
  <si>
    <t>X30C</t>
  </si>
  <si>
    <t>Gilhooly's</t>
  </si>
  <si>
    <t>222 9th St</t>
  </si>
  <si>
    <t>San Leon</t>
  </si>
  <si>
    <t>(281) 339-3813</t>
  </si>
  <si>
    <t>X31C</t>
  </si>
  <si>
    <t>Athens Café</t>
  </si>
  <si>
    <t>607 E Tyler St #106</t>
  </si>
  <si>
    <t>Athens</t>
  </si>
  <si>
    <t>(903) 675-5504</t>
  </si>
  <si>
    <t>X32D</t>
  </si>
  <si>
    <t>H &amp; H Bakery and Café</t>
  </si>
  <si>
    <t>719 Lott St</t>
  </si>
  <si>
    <t>Yoakum</t>
  </si>
  <si>
    <t>(361) 293-3232</t>
  </si>
  <si>
    <t>X33D</t>
  </si>
  <si>
    <t>Weezy's</t>
  </si>
  <si>
    <t>204 Front St</t>
  </si>
  <si>
    <t>Blossom</t>
  </si>
  <si>
    <t>(903) 982-7500</t>
  </si>
  <si>
    <t>X34D</t>
  </si>
  <si>
    <t>Mac's BBQ</t>
  </si>
  <si>
    <t>1903 S Bridge St</t>
  </si>
  <si>
    <t>Brady</t>
  </si>
  <si>
    <t>(325) 597-6227</t>
  </si>
  <si>
    <t>X35D</t>
  </si>
  <si>
    <t>Underwood's</t>
  </si>
  <si>
    <t>402 W Commerce St</t>
  </si>
  <si>
    <t>Brownwood</t>
  </si>
  <si>
    <t>(325) 646-1776</t>
  </si>
  <si>
    <t>X36D</t>
  </si>
  <si>
    <t>Owl Drug</t>
  </si>
  <si>
    <t>312 S Commercial Ave</t>
  </si>
  <si>
    <t>Coleman</t>
  </si>
  <si>
    <t>(325) 625-2178</t>
  </si>
  <si>
    <t>X37D</t>
  </si>
  <si>
    <t>Cattleman's Café</t>
  </si>
  <si>
    <t>893 TX-7</t>
  </si>
  <si>
    <t>Crockett</t>
  </si>
  <si>
    <t>(936) 546-7477</t>
  </si>
  <si>
    <t>X38D</t>
  </si>
  <si>
    <t>The Shed</t>
  </si>
  <si>
    <t>8337 FM-279</t>
  </si>
  <si>
    <t>Edom</t>
  </si>
  <si>
    <t>(903) 852-7791</t>
  </si>
  <si>
    <t>X39D</t>
  </si>
  <si>
    <t>Sue's Roost</t>
  </si>
  <si>
    <t>103 Edgar St</t>
  </si>
  <si>
    <t>Eustace</t>
  </si>
  <si>
    <t>(903) 425-8008</t>
  </si>
  <si>
    <t>X40D</t>
  </si>
  <si>
    <t>Sonny's Place</t>
  </si>
  <si>
    <t>1206 19th St</t>
  </si>
  <si>
    <t>Galveston</t>
  </si>
  <si>
    <t>(409) 763-9602</t>
  </si>
  <si>
    <t>X41D</t>
  </si>
  <si>
    <t>Texas Café</t>
  </si>
  <si>
    <t>605 Avenue E</t>
  </si>
  <si>
    <t>Hale Center</t>
  </si>
  <si>
    <t>(806) 302-7033</t>
  </si>
  <si>
    <t>X42D</t>
  </si>
  <si>
    <t>Las Vegas Café</t>
  </si>
  <si>
    <t>1101 W Harrison Ave</t>
  </si>
  <si>
    <t>Harlingen</t>
  </si>
  <si>
    <t>(956) 423-6749</t>
  </si>
  <si>
    <t>X43D</t>
  </si>
  <si>
    <t>Old House Café</t>
  </si>
  <si>
    <t>303 W 6th St</t>
  </si>
  <si>
    <t>(432) 639-5015</t>
  </si>
  <si>
    <t>X44D</t>
  </si>
  <si>
    <t>McGarity's Restaurant</t>
  </si>
  <si>
    <t>208 W Dallas St</t>
  </si>
  <si>
    <t>Jefferson</t>
  </si>
  <si>
    <t>(903) 601-4407</t>
  </si>
  <si>
    <t>X45D</t>
  </si>
  <si>
    <t>Sissy's Dive</t>
  </si>
  <si>
    <t>1510 Lubbock Hwy</t>
  </si>
  <si>
    <t>Lamesa</t>
  </si>
  <si>
    <t>(806) 870-7867</t>
  </si>
  <si>
    <t>X46D</t>
  </si>
  <si>
    <t>London Grocery &amp; Grill</t>
  </si>
  <si>
    <t>17451 US-377</t>
  </si>
  <si>
    <t>London</t>
  </si>
  <si>
    <t>(325) 475-2296</t>
  </si>
  <si>
    <t>X47D</t>
  </si>
  <si>
    <t>Willow Creek Café</t>
  </si>
  <si>
    <t>106 Fort McKavitt St</t>
  </si>
  <si>
    <t>Mason</t>
  </si>
  <si>
    <t>(325) 347-6124</t>
  </si>
  <si>
    <t>X48D</t>
  </si>
  <si>
    <t>Donald Citrano's Coffee Shop Café</t>
  </si>
  <si>
    <t>1005 W McGregor Dr</t>
  </si>
  <si>
    <t>McGregor</t>
  </si>
  <si>
    <t>(254) 840-2027</t>
  </si>
  <si>
    <t>X49D</t>
  </si>
  <si>
    <t>Blake's Café</t>
  </si>
  <si>
    <t>9216 FM 725</t>
  </si>
  <si>
    <t>McQueeney</t>
  </si>
  <si>
    <t>(830) 557-6335</t>
  </si>
  <si>
    <t>X50D</t>
  </si>
  <si>
    <t>Natalia's Café</t>
  </si>
  <si>
    <t>3210 E I-20</t>
  </si>
  <si>
    <t>Midland</t>
  </si>
  <si>
    <t>(432) 689-0402</t>
  </si>
  <si>
    <t>X51D</t>
  </si>
  <si>
    <t>Simply Country Café</t>
  </si>
  <si>
    <t>17174 TX-146 N</t>
  </si>
  <si>
    <t>Moss Hill</t>
  </si>
  <si>
    <t>(936) 298-2825</t>
  </si>
  <si>
    <t>X52D</t>
  </si>
  <si>
    <t>Crawford's Hole in the Wall</t>
  </si>
  <si>
    <t>202 3rd St NW</t>
  </si>
  <si>
    <t>Paris</t>
  </si>
  <si>
    <t>(903) 737-9025</t>
  </si>
  <si>
    <t>X53D</t>
  </si>
  <si>
    <t>Caro's</t>
  </si>
  <si>
    <t>607 W 2nd St</t>
  </si>
  <si>
    <t>Rio Grande City</t>
  </si>
  <si>
    <t>(956) 487-2255</t>
  </si>
  <si>
    <t>X54D</t>
  </si>
  <si>
    <t>Hwy 77 Café</t>
  </si>
  <si>
    <t>1101 US-77</t>
  </si>
  <si>
    <t>Rosebud</t>
  </si>
  <si>
    <t>(254) 583-4444</t>
  </si>
  <si>
    <t>X55D</t>
  </si>
  <si>
    <t>Quarry Hofbrau and Biergarten</t>
  </si>
  <si>
    <t>7310 Jones Maltberger Rd</t>
  </si>
  <si>
    <t>San Antonio</t>
  </si>
  <si>
    <t>(210) 290-8066</t>
  </si>
  <si>
    <t>X56D</t>
  </si>
  <si>
    <t>Taqueria El Jalisiense</t>
  </si>
  <si>
    <t>501 E Gravis Ave</t>
  </si>
  <si>
    <t>San Diego</t>
  </si>
  <si>
    <t>(361) 279-8998</t>
  </si>
  <si>
    <t>X57D</t>
  </si>
  <si>
    <t>Jack and Dorothy's Café</t>
  </si>
  <si>
    <t>406 E Washington St</t>
  </si>
  <si>
    <t>Stephenville</t>
  </si>
  <si>
    <t>(254) 965-5211</t>
  </si>
  <si>
    <t>X58D</t>
  </si>
  <si>
    <t>Allen's Family Style Meals</t>
  </si>
  <si>
    <t>1301 E Broadway St</t>
  </si>
  <si>
    <t>Sweetwater</t>
  </si>
  <si>
    <t>(325) 235-2060</t>
  </si>
  <si>
    <t>X59D</t>
  </si>
  <si>
    <t>Mel's Diner</t>
  </si>
  <si>
    <t>706 W Oklahoma Ave</t>
  </si>
  <si>
    <t>Wheeler</t>
  </si>
  <si>
    <t>(806) 826-3756</t>
  </si>
  <si>
    <t>X60D</t>
  </si>
  <si>
    <t>Poor Boy 377 Café</t>
  </si>
  <si>
    <t>21894 US-377</t>
  </si>
  <si>
    <t>Whitesboro</t>
  </si>
  <si>
    <t>(903) 564-4377</t>
  </si>
  <si>
    <t>X61D</t>
  </si>
  <si>
    <t>Casa Manana</t>
  </si>
  <si>
    <t>609 8th St</t>
  </si>
  <si>
    <t>Wichita Falls</t>
  </si>
  <si>
    <t>(940) 723-5661</t>
  </si>
  <si>
    <t>X62D</t>
  </si>
  <si>
    <t>Wild Bill's Grill</t>
  </si>
  <si>
    <t>233 US-190</t>
  </si>
  <si>
    <t>Woodville</t>
  </si>
  <si>
    <t>(409) 331-9811</t>
  </si>
  <si>
    <t>X63D</t>
  </si>
  <si>
    <t>The Old Gin</t>
  </si>
  <si>
    <t>404 N 3rd St</t>
  </si>
  <si>
    <t>Wortham</t>
  </si>
  <si>
    <t>(254) 255-4300</t>
  </si>
  <si>
    <t>X64D</t>
  </si>
  <si>
    <t>El Paraiso Restaurant</t>
  </si>
  <si>
    <t>1904 US-83</t>
  </si>
  <si>
    <t>Zapata</t>
  </si>
  <si>
    <t>(956) 765-3558</t>
  </si>
  <si>
    <t>Meal Bonus Code</t>
  </si>
  <si>
    <t>Meal Bonus Name</t>
  </si>
  <si>
    <t>Additional Points</t>
  </si>
  <si>
    <t>REST</t>
  </si>
  <si>
    <t>Points (per minute)</t>
  </si>
  <si>
    <t>BONUSES</t>
  </si>
  <si>
    <t>CHARITY BONUS</t>
  </si>
  <si>
    <t>Donate $25 for charity</t>
  </si>
  <si>
    <t>Rider</t>
  </si>
  <si>
    <t>Page</t>
  </si>
  <si>
    <t>Bonuses Claimed</t>
  </si>
  <si>
    <t>Bonuses Approved</t>
  </si>
  <si>
    <t>Rider Name</t>
  </si>
  <si>
    <t>Rider Email</t>
  </si>
  <si>
    <t>Start Miles</t>
  </si>
  <si>
    <t>End Miles</t>
  </si>
  <si>
    <t>Total Miles</t>
  </si>
  <si>
    <t>Rest</t>
  </si>
  <si>
    <t>MEAL</t>
  </si>
  <si>
    <t>Start</t>
  </si>
  <si>
    <t>End</t>
  </si>
  <si>
    <t>Total Minutes</t>
  </si>
  <si>
    <t>SPOT</t>
  </si>
  <si>
    <t>CHARITY</t>
  </si>
  <si>
    <t>PRE-REG</t>
  </si>
  <si>
    <t>INSURANCE</t>
  </si>
  <si>
    <t>Approved</t>
  </si>
  <si>
    <t>https://maps.google.com/?q=Daisy Bradford #3 discovery well,32.195447</t>
  </si>
  <si>
    <t>https://maps.google.com/?q=Humphrey Jones No 1,31.311059</t>
  </si>
  <si>
    <t>https://maps.google.com/?q=Longview - Lathrop Well,32.542496</t>
  </si>
  <si>
    <t>https://maps.google.com/?q=Jarman Number 1 Discovery Well,32.53087</t>
  </si>
  <si>
    <t>https://maps.google.com/?q=The Joiner No 3 Daisy Bradford,32.17842</t>
  </si>
  <si>
    <t>https://maps.google.com/?q=Snavely #1 Gladewater Discovery Well,32.53471</t>
  </si>
  <si>
    <t>https://maps.google.com/?q=Santa Rite No 1 Drill Rig,30.279987</t>
  </si>
  <si>
    <t>https://maps.google.com/?q=Talco Historical Museum,33.3628</t>
  </si>
  <si>
    <t>https://maps.google.com/?q=WH Abrams Well No 1 Brazoria County,29.170796</t>
  </si>
  <si>
    <t>https://maps.google.com/?q=Moonshine Hill,29.999549</t>
  </si>
  <si>
    <t>https://maps.google.com/?q=Baytown Oil Field Pump Jack,29.734094</t>
  </si>
  <si>
    <t>https://maps.google.com/?q=Cottle No 1,32.54801</t>
  </si>
  <si>
    <t>https://maps.google.com/?q=First Producing Well West Texas,32.72304</t>
  </si>
  <si>
    <t>https://maps.google.com/?q=McClesky Park,32.45079</t>
  </si>
  <si>
    <t>https://maps.google.com/?q=Petrolia,33.987867</t>
  </si>
  <si>
    <t>https://maps.google.com/?q=Archer County Discovery Well,33.595176</t>
  </si>
  <si>
    <t>https://maps.google.com/?q=Cable Tool Oil Field,32.707261</t>
  </si>
  <si>
    <t>https://maps.google.com/?q=Cool Ranch Oil Field,32.717605</t>
  </si>
  <si>
    <t>https://maps.google.com/?q=Felty Outdoor Oil Museum,34.10399</t>
  </si>
  <si>
    <t>https://maps.google.com/?q=Nocona - Tails n Trails Museum,33.78566</t>
  </si>
  <si>
    <t>https://maps.google.com/?q=Gulf Burnet #2,35.60296</t>
  </si>
  <si>
    <t>https://maps.google.com/?q=Gulf Dial #1 Oil Well,35.79194</t>
  </si>
  <si>
    <t>https://maps.google.com/?q=National Ranching Heritage Center,33.588683</t>
  </si>
  <si>
    <t>https://maps.google.com/?q=Andrews County Discovery Well,32.333705</t>
  </si>
  <si>
    <t>https://maps.google.com/?q=Crockett County first producing well marker,30.91128</t>
  </si>
  <si>
    <t>https://maps.google.com/?q=Denver City - Wassom Field Discovery Well,33.049347</t>
  </si>
  <si>
    <t>https://maps.google.com/?q=First Commercial well Permian basin,32.34302</t>
  </si>
  <si>
    <t>https://maps.google.com/?q=Howard County first commercial oil well,32.08585</t>
  </si>
  <si>
    <t>https://maps.google.com/?q=Rodman-Noel Oil field,31.15322</t>
  </si>
  <si>
    <t>https://maps.google.com/?q=Texon Oil Derrick,31.22508</t>
  </si>
  <si>
    <t>https://maps.google.com/?q=Wier No 1 oil well,31.28364</t>
  </si>
  <si>
    <t>https://maps.google.com/?q=Winkler County Discovery Well,31.756047</t>
  </si>
  <si>
    <t>https://maps.google.com/?q=Church and Fields Oil Discovery Well,31.503322</t>
  </si>
  <si>
    <t>https://maps.google.com/?q=First Producing Well in Coke County,32.070742</t>
  </si>
  <si>
    <t>https://maps.google.com/?q=Ector County Discovery Well,31.720739</t>
  </si>
  <si>
    <t>https://maps.google.com/?q=Permian Basin Petroleum Museum,31.971934</t>
  </si>
  <si>
    <t>https://maps.google.com/?q=Batson Oil Field,30.263239</t>
  </si>
  <si>
    <t>https://maps.google.com/?q=Rafael Rios No 1,29.681287</t>
  </si>
  <si>
    <t>https://maps.google.com/?q=Refugio - Mission River Park drill site,28.29152</t>
  </si>
  <si>
    <t>https://maps.google.com/?q=Mirando City,27.443924</t>
  </si>
  <si>
    <t>https://maps.google.com/?q=Spindletop Park,30.012944</t>
  </si>
  <si>
    <t>https://maps.google.com/?q=Orangefield,30.077226</t>
  </si>
  <si>
    <t>https://maps.google.com/?q=Frank Hamer - Austin Memorial Park Cemetery,30.32825</t>
  </si>
  <si>
    <t>https://maps.google.com/?q=Henderson,32.153356</t>
  </si>
  <si>
    <t>https://maps.google.com/?q=JK Hughes - Blair Stubbs,31.67481</t>
  </si>
  <si>
    <t>https://maps.google.com/?q=Julius Desenberg,31.691868</t>
  </si>
  <si>
    <t>https://maps.google.com/?q=Lyne Barrett,31.56563</t>
  </si>
  <si>
    <t>https://maps.google.com/?q=Columbus Marion Joiner,32.867862</t>
  </si>
  <si>
    <t>https://maps.google.com/?q=Confederate Reunion Fairgrounds,31.63339</t>
  </si>
  <si>
    <t>https://maps.google.com/?q=Joseph Cullinan residence,32.091781</t>
  </si>
  <si>
    <t>https://maps.google.com/?q=Clint Murchison Memorial Library,32.20342</t>
  </si>
  <si>
    <t>https://maps.google.com/?q=Lou Della Crim,32.388343</t>
  </si>
  <si>
    <t>https://maps.google.com/?q=Winter Garden Casino and Dance Hall,31.68598</t>
  </si>
  <si>
    <t>https://maps.google.com/?q=New London,32.23921</t>
  </si>
  <si>
    <t>https://maps.google.com/?q=Pegasus,32.77634</t>
  </si>
  <si>
    <t>https://maps.google.com/?q=Joe Roughneck - Kilgore,32.39075</t>
  </si>
  <si>
    <t>https://maps.google.com/?q=Richardson Petroleum Engineering Building,30.619221</t>
  </si>
  <si>
    <t>https://maps.google.com/?q=Corsicana,32.092661</t>
  </si>
  <si>
    <t>https://maps.google.com/?q=Joe Roughneck - Joinerville,32.17845</t>
  </si>
  <si>
    <t>https://maps.google.com/?q=Joseph Stephen Cullinan,29.762278</t>
  </si>
  <si>
    <t>https://maps.google.com/?q=Conroe Crater Lake,30.28037</t>
  </si>
  <si>
    <t>https://maps.google.com/?q=John H McClesky,32.4239</t>
  </si>
  <si>
    <t>https://maps.google.com/?q=Stephen Bethel Strawn,32.540226</t>
  </si>
  <si>
    <t>https://maps.google.com/?q=Barnett Settlement,31.196697</t>
  </si>
  <si>
    <t>https://maps.google.com/?q=Joseph Sterling Bridwell,33.479714</t>
  </si>
  <si>
    <t>https://maps.google.com/?q=Boomtown Steak, Fish, BBQ,32.26932</t>
  </si>
  <si>
    <t>https://maps.google.com/?q=Albany Old Jail Art Center,32.7233</t>
  </si>
  <si>
    <t>https://maps.google.com/?q=Breckenridge,32.756029</t>
  </si>
  <si>
    <t>https://maps.google.com/?q=W.W. Sterling,27.733417</t>
  </si>
  <si>
    <t>https://maps.google.com/?q=Borger,35.67514</t>
  </si>
  <si>
    <t>https://maps.google.com/?q=Govenor Dan Moody,30.575323</t>
  </si>
  <si>
    <t>https://maps.google.com/?q=John A Holmes,35.353096</t>
  </si>
  <si>
    <t>https://maps.google.com/?q=Denver City,32.964198</t>
  </si>
  <si>
    <t>https://maps.google.com/?q=Ector County's First Dry Hole,31.862045</t>
  </si>
  <si>
    <t>https://maps.google.com/?q=Benedum Oil Field and townsite,31.32049</t>
  </si>
  <si>
    <t>https://maps.google.com/?q=Daisetta Sinkhole,30.12172</t>
  </si>
  <si>
    <t>https://maps.google.com/?q=Beaumont YMCA,30.08639</t>
  </si>
  <si>
    <t>https://maps.google.com/?q=Pattillo Higgins,29.343467</t>
  </si>
  <si>
    <t>https://maps.google.com/?q=World's Largest Working Fire Hydrant,30.085933</t>
  </si>
  <si>
    <t>https://maps.google.com/?q=Oil Springs Oil Tank,31.473836</t>
  </si>
  <si>
    <t>https://maps.google.com/?q=Mexia Oil Boom,31.66163</t>
  </si>
  <si>
    <t>https://maps.google.com/?q=Wortham First Oil site,31.77403</t>
  </si>
  <si>
    <t>https://maps.google.com/?q=Comstock Oil and Gas Dorothy Unit,31.477264</t>
  </si>
  <si>
    <t>https://maps.google.com/?q=Powell Oil Field,32.11747</t>
  </si>
  <si>
    <t>https://maps.google.com/?q=Talco Cemetery,33.36583</t>
  </si>
  <si>
    <t>https://maps.google.com/?q=Wortham Oil Boom,31.7876</t>
  </si>
  <si>
    <t>https://maps.google.com/?q=Clemville,28.99594</t>
  </si>
  <si>
    <t>https://maps.google.com/?q=Goose Creek Jail,29.72994</t>
  </si>
  <si>
    <t>https://maps.google.com/?q=Somerville - Yegua Creek,30.325626</t>
  </si>
  <si>
    <t>https://maps.google.com/?q=Clara,34.091767</t>
  </si>
  <si>
    <t>https://maps.google.com/?q=Bullock,32.51456</t>
  </si>
  <si>
    <t>https://maps.google.com/?q=Burkburnett,34.10099</t>
  </si>
  <si>
    <t>https://maps.google.com/?q=Bridgetown,34.096677</t>
  </si>
  <si>
    <t>https://maps.google.com/?q=Desdemona callaboose (jail,32.26928</t>
  </si>
  <si>
    <t>https://maps.google.com/?q=Eliasville,32.96006</t>
  </si>
  <si>
    <t>https://maps.google.com/?q=Fort Blair (pre-oil days) of Desdemona,32.26852</t>
  </si>
  <si>
    <t>https://maps.google.com/?q=Gunsight,32.54113</t>
  </si>
  <si>
    <t>https://maps.google.com/?q=Ibex,32.68304</t>
  </si>
  <si>
    <t>https://maps.google.com/?q=Megargel,33.450592</t>
  </si>
  <si>
    <t>https://maps.google.com/?q=Merriman Baptist Church,32.423302</t>
  </si>
  <si>
    <t>https://maps.google.com/?q=Moran,32.54801</t>
  </si>
  <si>
    <t>https://maps.google.com/?q=Necessity,32.64881</t>
  </si>
  <si>
    <t>https://maps.google.com/?q=Caddo,32.780056</t>
  </si>
  <si>
    <t>https://maps.google.com/?q=Olden (Olden Switch),32.420518</t>
  </si>
  <si>
    <t>https://maps.google.com/?q=Parks Camp,32.66324</t>
  </si>
  <si>
    <t>https://maps.google.com/?q=Ranger- First Oil Well,32.4697</t>
  </si>
  <si>
    <t>https://maps.google.com/?q=Thrift - Northwest Oilfield Extension,34.09632</t>
  </si>
  <si>
    <t>https://maps.google.com/?q=Thurber chimney,32.50794</t>
  </si>
  <si>
    <t>https://maps.google.com/?q=Anarene,33.48499</t>
  </si>
  <si>
    <t>https://maps.google.com/?q=Borger's First Jail,35.67238</t>
  </si>
  <si>
    <t>https://maps.google.com/?q=Frankel City,32.358011</t>
  </si>
  <si>
    <t>https://maps.google.com/?q=McCamey,31.1493</t>
  </si>
  <si>
    <t>https://maps.google.com/?q=TP Tavern,31.1447</t>
  </si>
  <si>
    <t>https://maps.google.com/?q=Rankin Cemetery,31.21525</t>
  </si>
  <si>
    <t>https://maps.google.com/?q=Sterling City,31.836221</t>
  </si>
  <si>
    <t>https://maps.google.com/?q=Goldsmith,31.980661</t>
  </si>
  <si>
    <t>https://maps.google.com/?q=Tilden,28.460896</t>
  </si>
  <si>
    <t>https://maps.google.com/?q=East Texas Oil Museum,32.37729</t>
  </si>
  <si>
    <t>https://maps.google.com/?q=Kilgore East Derrick,32.39084</t>
  </si>
  <si>
    <t>https://maps.google.com/?q=Kilgore Oil Derrick Forest,32.387356</t>
  </si>
  <si>
    <t>https://maps.google.com/?q=Petroleum Industry Park,32.08953</t>
  </si>
  <si>
    <t>https://maps.google.com/?q=Kilgore - World's Richest Acre,32.38686</t>
  </si>
  <si>
    <t>https://maps.google.com/?q=Tyler picnic area oil derricks,32.43723</t>
  </si>
  <si>
    <t>https://maps.google.com/?q=Roadside Park Oil Derrick,32.17845</t>
  </si>
  <si>
    <t>https://maps.google.com/?q=Egypt Road Sign,29.40602</t>
  </si>
  <si>
    <t>https://maps.google.com/?q=Texas City Water Buoy,29.365184</t>
  </si>
  <si>
    <t>https://maps.google.com/?q=Beaumont No 54 Oil Derrick,29.71283</t>
  </si>
  <si>
    <t>https://maps.google.com/?q=Humble Oil Derrick Clock,29.99954</t>
  </si>
  <si>
    <t>https://maps.google.com/?q=Tomball Park Derrick Fountain,30.09685</t>
  </si>
  <si>
    <t>https://maps.google.com/?q=Eastland County Museum,32.401147</t>
  </si>
  <si>
    <t>https://maps.google.com/?q=Electra Oil Derrick Picnic Spot,34.025636</t>
  </si>
  <si>
    <t>https://maps.google.com/?q=Burkburnett Oil Derricks,34.10218</t>
  </si>
  <si>
    <t>https://maps.google.com/?q=Palo Pinto County Historical Museum,32.76635</t>
  </si>
  <si>
    <t>https://maps.google.com/?q=wichita falls oil derrick on bike wheel,33.91377</t>
  </si>
  <si>
    <t>https://maps.google.com/?q=Mural on building in Early, TX,31.74069</t>
  </si>
  <si>
    <t>https://maps.google.com/?q=Oil Derricks roadside,33.64878</t>
  </si>
  <si>
    <t>https://maps.google.com/?q=Olney Mural,33.371176</t>
  </si>
  <si>
    <t>https://maps.google.com/?q=Ranger oil derrick,32.47012</t>
  </si>
  <si>
    <t>https://maps.google.com/?q=Bob's Oil Well,34.01199</t>
  </si>
  <si>
    <t>https://maps.google.com/?q=Iraan,30.917137</t>
  </si>
  <si>
    <t>https://maps.google.com/?q=Oil Derrick - Midland,32.015825</t>
  </si>
  <si>
    <t>https://maps.google.com/?q=Sour Lake Oil Derrick,30.13962</t>
  </si>
  <si>
    <t>https://maps.google.com/?q=Corpus Christi,27.848088</t>
  </si>
  <si>
    <t>https://maps.google.com/?q=Luling Oil Derrick,29.68345</t>
  </si>
  <si>
    <t>https://maps.google.com/?q=Spindletop Gladys City Boomtown Museum,30.032474</t>
  </si>
  <si>
    <t>https://maps.google.com/?q=El Jalisiense,27.762435</t>
  </si>
  <si>
    <t>https://maps.google.com/?q=Mookie's Mesquite Patch BBQ,31.755181</t>
  </si>
  <si>
    <t>https://maps.google.com/?q=Hole in the Wall Café,33.31581</t>
  </si>
  <si>
    <t>https://maps.google.com/?q=Heart of Texas Grill,31.530456</t>
  </si>
  <si>
    <t>https://maps.google.com/?q=JJ's Roadhouse,31.926046</t>
  </si>
  <si>
    <t>https://maps.google.com/?q=Coyote Bluff Café,35.188002</t>
  </si>
  <si>
    <t>https://maps.google.com/?q=Kott's Café,30.489217</t>
  </si>
  <si>
    <t>https://maps.google.com/?q=Texas Chili Parlor,30.276992</t>
  </si>
  <si>
    <t>https://maps.google.com/?q=Maxines on Main,30.10966</t>
  </si>
  <si>
    <t>https://maps.google.com/?q=Whistle Stop Café,33.228192</t>
  </si>
  <si>
    <t>https://maps.google.com/?q=Cowboy's Restaurant,29.330301</t>
  </si>
  <si>
    <t>https://maps.google.com/?q=Granny's Restaurant,30.40596</t>
  </si>
  <si>
    <t>https://maps.google.com/?q=Losts Maples Café,29.615894</t>
  </si>
  <si>
    <t>https://maps.google.com/?q=Czech-American Restaurant,31.803252</t>
  </si>
  <si>
    <t>https://maps.google.com/?q=Trump Burger,29.945679</t>
  </si>
  <si>
    <t>https://maps.google.com/?q=Grandma's Café,31.399168</t>
  </si>
  <si>
    <t>https://maps.google.com/?q=Bahnhof Café,29.090923</t>
  </si>
  <si>
    <t>https://maps.google.com/?q=7th St Restaurant,31.814174</t>
  </si>
  <si>
    <t>https://maps.google.com/?q=CJs Café,33.66283</t>
  </si>
  <si>
    <t>https://maps.google.com/?q=Joe's Place,29.904779</t>
  </si>
  <si>
    <t>https://maps.google.com/?q=Johnny Rebs Dixie Café,30.877248</t>
  </si>
  <si>
    <t>https://maps.google.com/?q=Koffee Kup,31.983004</t>
  </si>
  <si>
    <t>https://maps.google.com/?q=Texan Café,30.544397</t>
  </si>
  <si>
    <t>https://maps.google.com/?q=Zeytin Mediterranean,32.866057</t>
  </si>
  <si>
    <t>https://maps.google.com/?q=Isaacks,30.491035</t>
  </si>
  <si>
    <t>https://maps.google.com/?q=Cooper's Old Time Pit BBQ,30.759287</t>
  </si>
  <si>
    <t>https://maps.google.com/?q=Arnold's Family Restaurant,32.94119</t>
  </si>
  <si>
    <t>https://maps.google.com/?q=Blue Bonnet Café,30.570785</t>
  </si>
  <si>
    <t>https://maps.google.com/?q=Smokestack Restaurant,32.508099</t>
  </si>
  <si>
    <t>https://maps.google.com/?q=Gilhooly's,29.494329</t>
  </si>
  <si>
    <t>https://maps.google.com/?q=Athens Café,32.206458</t>
  </si>
  <si>
    <t>https://maps.google.com/?q=H &amp; H Bakery and Café,29.286716</t>
  </si>
  <si>
    <t>https://maps.google.com/?q=Weezy's,33.661083</t>
  </si>
  <si>
    <t>https://maps.google.com/?q=Mac's BBQ,31.118426</t>
  </si>
  <si>
    <t>https://maps.google.com/?q=Underwood's,31.728139</t>
  </si>
  <si>
    <t>https://maps.google.com/?q=Owl Drug,31.828424</t>
  </si>
  <si>
    <t>https://maps.google.com/?q=Cattleman's Café,31.307162</t>
  </si>
  <si>
    <t>https://maps.google.com/?q=The Shed,32.372426</t>
  </si>
  <si>
    <t>https://maps.google.com/?q=Sue's Roost,32.306519</t>
  </si>
  <si>
    <t>https://maps.google.com/?q=Sonny's Place,29.299283</t>
  </si>
  <si>
    <t>https://maps.google.com/?q=Texas Café,34.063723</t>
  </si>
  <si>
    <t>https://maps.google.com/?q=Las Vegas Café,26.19029</t>
  </si>
  <si>
    <t>https://maps.google.com/?q=Old House Café,30.913941</t>
  </si>
  <si>
    <t>https://maps.google.com/?q=McGarity's Restaurant,32.755219</t>
  </si>
  <si>
    <t>https://maps.google.com/?q=Sissy's Dive,32.747351</t>
  </si>
  <si>
    <t>https://maps.google.com/?q=London Grocery &amp; Grill,30.677671</t>
  </si>
  <si>
    <t>https://maps.google.com/?q=Willow Creek Café,30.748961</t>
  </si>
  <si>
    <t>https://maps.google.com/?q=Donald Citrano's Coffee Shop Café,31.441797</t>
  </si>
  <si>
    <t>https://maps.google.com/?q=Blake's Café,29.590686</t>
  </si>
  <si>
    <t>https://maps.google.com/?q=Natalia's Café,31.965386</t>
  </si>
  <si>
    <t>https://maps.google.com/?q=Simply Country Café,30.246628</t>
  </si>
  <si>
    <t>https://maps.google.com/?q=Crawford's Hole in the Wall,33.662971</t>
  </si>
  <si>
    <t>https://maps.google.com/?q=Caro's,26.381634</t>
  </si>
  <si>
    <t>https://maps.google.com/?q=Hwy 77 Café,31.095687</t>
  </si>
  <si>
    <t>https://maps.google.com/?q=Quarry Hofbrau and Biergarten,29.497855</t>
  </si>
  <si>
    <t>https://maps.google.com/?q=Taqueria El Jalisiense,27.763286</t>
  </si>
  <si>
    <t>https://maps.google.com/?q=Jack and Dorothy's Café,32.221669</t>
  </si>
  <si>
    <t>https://maps.google.com/?q=Allen's Family Style Meals,32.476592</t>
  </si>
  <si>
    <t>https://maps.google.com/?q=Mel's Diner,35.444874</t>
  </si>
  <si>
    <t>https://maps.google.com/?q=Poor Boy 377 Café,33.716588</t>
  </si>
  <si>
    <t>https://maps.google.com/?q=Casa Manana,33.912886</t>
  </si>
  <si>
    <t>https://maps.google.com/?q=Wild Bill's Grill,30.776918</t>
  </si>
  <si>
    <t>https://maps.google.com/?q=The Old Gin,31.791363</t>
  </si>
  <si>
    <t>https://maps.google.com/?q=El Paraiso Restaurant,26.913187</t>
  </si>
  <si>
    <t>A</t>
  </si>
  <si>
    <t>Bonus Pts</t>
  </si>
  <si>
    <t>Meal Extra Points</t>
  </si>
  <si>
    <t>BONUS</t>
  </si>
  <si>
    <t>MEAL(1)</t>
  </si>
  <si>
    <t>MEAL(2)</t>
  </si>
  <si>
    <t>MEAL(3)</t>
  </si>
  <si>
    <t>EXPONENT</t>
  </si>
  <si>
    <t>Denial Reason</t>
  </si>
  <si>
    <t>MEAL/REST</t>
  </si>
  <si>
    <t>RALLY</t>
  </si>
  <si>
    <t>Bonuses</t>
  </si>
  <si>
    <t>Extra Meal Points</t>
  </si>
  <si>
    <t>TOTAL</t>
  </si>
  <si>
    <t>Rest Minutes</t>
  </si>
  <si>
    <t>Time</t>
  </si>
  <si>
    <t>MealRest</t>
  </si>
  <si>
    <t>Category</t>
  </si>
  <si>
    <t>Meal/Rest Extra</t>
  </si>
  <si>
    <t>COMBO</t>
  </si>
  <si>
    <t>COMBO BONUSES</t>
  </si>
  <si>
    <t>claim every bonus assigned to the category ‘OIL PRODUCTION’</t>
  </si>
  <si>
    <t>claim every bonus assigned to the category ‘EQUIPMENT’</t>
  </si>
  <si>
    <t>claim every bonus in the ‘LABOR/TRAINING’ category</t>
  </si>
  <si>
    <t>claim every bonus in the ‘LAND LEASES’ category</t>
  </si>
  <si>
    <t>claim all MISHAPS bonuses (starts with MIS)</t>
  </si>
  <si>
    <t>claim all UNIQUE bonuses (starts with UNI)</t>
  </si>
  <si>
    <t>claim all EAST TEXAS oil region bonuses</t>
  </si>
  <si>
    <t>claim all NORTH TEXAS oil region bonuses</t>
  </si>
  <si>
    <t>claim all HUMBLE oil region bonuses</t>
  </si>
  <si>
    <t>claim all PANHANDLE oil region bonuses</t>
  </si>
  <si>
    <t>claim all SOUTHERN COASTAL oil region bonuses</t>
  </si>
  <si>
    <t>claim all PERMIAN BASIN &amp; BIG LAKE ooil region bonuses</t>
  </si>
  <si>
    <t>claim all SPINDLETOP oil region bonuses</t>
  </si>
  <si>
    <t>claim all SOUR LAKE oil region bonuses</t>
  </si>
  <si>
    <t>claim all OILMEN bonuses (starts with MAN)</t>
  </si>
  <si>
    <t>claim all PUMP JACKS bonuses (starts with PUM)</t>
  </si>
  <si>
    <t>claim all DISCOVERY WELLS bonuses (starts with DIS)</t>
  </si>
  <si>
    <t>claim all WORKERS bonuses (starts with WOR)</t>
  </si>
  <si>
    <t>claim all DRILLING RIGS bonuses (starts with DRI)</t>
  </si>
  <si>
    <t>Lines 13-157</t>
  </si>
  <si>
    <t>Rest Bonus</t>
  </si>
  <si>
    <t>160-161</t>
  </si>
  <si>
    <t>166-229</t>
  </si>
  <si>
    <t>Meal Bonuses</t>
  </si>
  <si>
    <t>Rest Bonuses</t>
  </si>
  <si>
    <t>Charity Bonus</t>
  </si>
  <si>
    <t>236-254</t>
  </si>
  <si>
    <t>Combo Bonuses</t>
  </si>
  <si>
    <t>Total of Each</t>
  </si>
  <si>
    <t>Claim in Each</t>
  </si>
  <si>
    <t>No idea</t>
  </si>
  <si>
    <t>Allowed Points</t>
  </si>
  <si>
    <t>Donate $25 to Irving Police and Fire Blue Christmas or Irving Many Helping Hands.  You may pay at paypal.me/heartoftexasrally or contact the RM for other payment methods.  You may also directly donate to either or both organizations, just e-mail the rallymaster your donation receipt.  Do this prior to the rally start.</t>
  </si>
  <si>
    <t>CHOOSE RALLY TYPE</t>
  </si>
  <si>
    <t>Minutes</t>
  </si>
  <si>
    <t>TOTAL MINUTES</t>
  </si>
  <si>
    <t>Meal Bonus</t>
  </si>
  <si>
    <t>--</t>
  </si>
  <si>
    <t>Meal Count</t>
  </si>
  <si>
    <t>Meal Order</t>
  </si>
  <si>
    <t>MEAL1</t>
  </si>
  <si>
    <t>MEAL2</t>
  </si>
  <si>
    <t>MEAL3</t>
  </si>
  <si>
    <t>Meal Exponent</t>
  </si>
  <si>
    <t>Total</t>
  </si>
  <si>
    <t>COMBOS</t>
  </si>
  <si>
    <t>Awarded Points</t>
  </si>
  <si>
    <t>Remaining to receive points</t>
  </si>
  <si>
    <t>58 Hour</t>
  </si>
  <si>
    <t>Category Points</t>
  </si>
  <si>
    <t>Meal/Rest</t>
  </si>
  <si>
    <t>Combos</t>
  </si>
  <si>
    <t>Regular Bonuses</t>
  </si>
  <si>
    <t>CATEGORY POINTS</t>
  </si>
  <si>
    <t>The regular bonus score is based off the lowest of the four categories.</t>
  </si>
  <si>
    <t>Meal/Rest Points</t>
  </si>
  <si>
    <t>Meals</t>
  </si>
  <si>
    <t>Meal Code</t>
  </si>
  <si>
    <t>TOTAL POINTS</t>
  </si>
  <si>
    <t>Friday Meal</t>
  </si>
  <si>
    <t>Saturday Meal</t>
  </si>
  <si>
    <t>Remaining to receive combo points</t>
  </si>
  <si>
    <t>Awarded</t>
  </si>
  <si>
    <t>Sequence</t>
  </si>
  <si>
    <t>LABOR / TRAINING</t>
  </si>
  <si>
    <t>Meal</t>
  </si>
  <si>
    <t>Total Exponents</t>
  </si>
  <si>
    <t>Additional Meal Points</t>
  </si>
  <si>
    <t>COMBOS - Bonus Type</t>
  </si>
  <si>
    <t>COMBOS - Oil Regions</t>
  </si>
  <si>
    <t>COMBOS - Categories</t>
  </si>
  <si>
    <t>***NOTE:  30 hour riders will ONLY use REST(2)</t>
  </si>
  <si>
    <t>EAST TEXASOil Derricks</t>
  </si>
  <si>
    <t>SPINDLETOPOil Derricks</t>
  </si>
  <si>
    <t>SOUR LAKEOil Derricks</t>
  </si>
  <si>
    <t>HUMBLEOil Derricks</t>
  </si>
  <si>
    <t>NORTH TEXASOil Derricks</t>
  </si>
  <si>
    <t>SOUTHERN COASTALOil Derricks</t>
  </si>
  <si>
    <t>PERMIAN BASIN &amp; BIG LAKEOil Derricks</t>
  </si>
  <si>
    <t>PANHANDLEOil Derricks</t>
  </si>
  <si>
    <t>58 finish</t>
  </si>
  <si>
    <t>30 finish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</si>
</sst>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0"/>
    <numFmt numFmtId="165" formatCode="m/d/yy\ h:mm;@"/>
    <numFmt numFmtId="166" formatCode="m/d/yy;@"/>
    <numFmt numFmtId="167" formatCode="m/d/yyyy;@"/>
  </numFmts>
  <fonts count="36" x14ac:knownFonts="1">
    <font>
      <sz val="11"/>
      <color theme="1"/>
      <name val="Aptos Narrow"/>
      <family val="2"/>
      <scheme val="minor"/>
    </font>
    <font>
      <b/>
      <sz val="11"/>
      <color theme="1"/>
      <name val="Aptos Narrow"/>
      <family val="2"/>
      <scheme val="minor"/>
    </font>
    <font>
      <u/>
      <sz val="11"/>
      <color theme="10"/>
      <name val="Aptos Narrow"/>
      <family val="2"/>
      <scheme val="minor"/>
    </font>
    <font>
      <b/>
      <u/>
      <sz val="11"/>
      <color theme="1"/>
      <name val="Aptos Narrow"/>
      <family val="2"/>
      <scheme val="minor"/>
    </font>
    <font>
      <sz val="8"/>
      <color theme="1"/>
      <name val="Aptos Narrow"/>
      <family val="2"/>
      <scheme val="minor"/>
    </font>
    <font>
      <b/>
      <sz val="14"/>
      <color theme="1"/>
      <name val="Aptos Narrow"/>
      <family val="2"/>
      <scheme val="minor"/>
    </font>
    <font>
      <sz val="10"/>
      <color theme="1"/>
      <name val="Aptos Narrow"/>
      <family val="2"/>
      <scheme val="minor"/>
    </font>
    <font>
      <b/>
      <sz val="9"/>
      <color theme="1"/>
      <name val="Aptos Narrow"/>
      <family val="2"/>
      <scheme val="minor"/>
    </font>
    <font>
      <b/>
      <sz val="7"/>
      <color theme="1"/>
      <name val="Aptos Narrow"/>
      <family val="2"/>
      <scheme val="minor"/>
    </font>
    <font>
      <b/>
      <sz val="8"/>
      <color theme="1"/>
      <name val="Aptos Narrow"/>
      <family val="2"/>
      <scheme val="minor"/>
    </font>
    <font>
      <sz val="4"/>
      <color theme="1"/>
      <name val="Aptos Narrow"/>
      <family val="2"/>
      <scheme val="minor"/>
    </font>
    <font>
      <sz val="6"/>
      <color theme="1"/>
      <name val="Aptos Narrow"/>
      <family val="2"/>
      <scheme val="minor"/>
    </font>
    <font>
      <b/>
      <sz val="12"/>
      <color theme="1"/>
      <name val="Aptos Narrow"/>
      <family val="2"/>
      <scheme val="minor"/>
    </font>
    <font>
      <b/>
      <sz val="11"/>
      <color theme="1"/>
      <name val="Aptos"/>
      <family val="2"/>
    </font>
    <font>
      <b/>
      <sz val="7"/>
      <color theme="1"/>
      <name val="Aptos"/>
      <family val="2"/>
    </font>
    <font>
      <b/>
      <sz val="8"/>
      <color theme="1"/>
      <name val="Aptos"/>
      <family val="2"/>
    </font>
    <font>
      <sz val="9"/>
      <color theme="1"/>
      <name val="Aptos Narrow"/>
      <family val="2"/>
      <scheme val="minor"/>
    </font>
    <font>
      <b/>
      <sz val="10"/>
      <color theme="1"/>
      <name val="Aptos Narrow"/>
      <family val="2"/>
      <scheme val="minor"/>
    </font>
    <font>
      <sz val="11"/>
      <color theme="1"/>
      <name val="Aptos"/>
      <family val="2"/>
    </font>
    <font>
      <sz val="10"/>
      <color theme="1"/>
      <name val="Aptos"/>
      <family val="2"/>
    </font>
    <font>
      <sz val="7"/>
      <color theme="1"/>
      <name val="Aptos Narrow"/>
      <family val="2"/>
      <scheme val="minor"/>
    </font>
    <font>
      <b/>
      <sz val="22"/>
      <color theme="1"/>
      <name val="Aptos"/>
      <family val="2"/>
    </font>
    <font>
      <b/>
      <sz val="12"/>
      <color theme="1"/>
      <name val="Aptos"/>
      <family val="2"/>
    </font>
    <font>
      <b/>
      <sz val="18"/>
      <color theme="1"/>
      <name val="Aptos"/>
      <family val="2"/>
    </font>
    <font>
      <sz val="6"/>
      <color theme="1"/>
      <name val="Aptos"/>
      <family val="2"/>
    </font>
    <font>
      <b/>
      <sz val="10"/>
      <color theme="1"/>
      <name val="Aptos"/>
      <family val="2"/>
    </font>
    <font>
      <sz val="8"/>
      <color theme="1"/>
      <name val="Aptos"/>
      <family val="2"/>
    </font>
    <font>
      <sz val="7"/>
      <color theme="1"/>
      <name val="Aptos"/>
      <family val="2"/>
    </font>
    <font>
      <sz val="12"/>
      <color theme="1"/>
      <name val="Aptos"/>
      <family val="2"/>
    </font>
    <font>
      <sz val="11"/>
      <color theme="1"/>
      <name val="Aptos Black"/>
      <family val="2"/>
    </font>
    <font>
      <sz val="18"/>
      <color theme="1"/>
      <name val="Aptos Black"/>
      <family val="2"/>
    </font>
    <font>
      <sz val="9"/>
      <color theme="1"/>
      <name val="Aptos"/>
      <family val="2"/>
    </font>
    <font>
      <sz val="16"/>
      <color theme="1"/>
      <name val="Aptos Black"/>
      <family val="2"/>
    </font>
    <font>
      <b/>
      <sz val="9"/>
      <color theme="1"/>
      <name val="Aptos"/>
      <family val="2"/>
    </font>
    <font>
      <sz val="28"/>
      <color theme="1"/>
      <name val="Aptos Black"/>
      <family val="2"/>
    </font>
    <font>
      <sz val="11"/>
      <color theme="0" tint="-0.249977111117893"/>
      <name val="Aptos"/>
      <family val="2"/>
    </font>
  </fonts>
  <fills count="10">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9966"/>
        <bgColor indexed="64"/>
      </patternFill>
    </fill>
    <fill>
      <patternFill patternType="solid">
        <fgColor rgb="FF92D050"/>
        <bgColor indexed="64"/>
      </patternFill>
    </fill>
    <fill>
      <patternFill patternType="solid">
        <fgColor rgb="FFFFFF00"/>
        <bgColor indexed="64"/>
      </patternFill>
    </fill>
  </fills>
  <borders count="4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thin">
        <color indexed="64"/>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auto="1"/>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auto="1"/>
      </top>
      <bottom style="thin">
        <color auto="1"/>
      </bottom>
      <diagonal/>
    </border>
    <border>
      <left/>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212">
    <xf numFmtId="0" fontId="0" fillId="0" borderId="0" xfId="0"/>
    <xf numFmtId="0" fontId="1" fillId="0" borderId="0" xfId="0" applyFont="1"/>
    <xf numFmtId="0" fontId="0" fillId="0" borderId="3" xfId="0" applyBorder="1"/>
    <xf numFmtId="0" fontId="4" fillId="0" borderId="0" xfId="0" applyFont="1"/>
    <xf numFmtId="0" fontId="0" fillId="0" borderId="0" xfId="0" applyAlignment="1">
      <alignment horizontal="center"/>
    </xf>
    <xf numFmtId="0" fontId="5" fillId="0" borderId="0" xfId="0" applyFont="1"/>
    <xf numFmtId="0" fontId="6" fillId="0" borderId="0" xfId="0" applyFont="1"/>
    <xf numFmtId="0" fontId="7" fillId="6" borderId="0" xfId="0" applyFont="1" applyFill="1"/>
    <xf numFmtId="0" fontId="1" fillId="6" borderId="0" xfId="0" applyFont="1" applyFill="1"/>
    <xf numFmtId="0" fontId="8" fillId="6" borderId="0" xfId="0" applyFont="1" applyFill="1"/>
    <xf numFmtId="0" fontId="10" fillId="0" borderId="0" xfId="0" applyFont="1" applyAlignment="1">
      <alignment wrapText="1"/>
    </xf>
    <xf numFmtId="22" fontId="0" fillId="0" borderId="0" xfId="0" applyNumberFormat="1"/>
    <xf numFmtId="0" fontId="4" fillId="0" borderId="1" xfId="0" applyFont="1" applyBorder="1"/>
    <xf numFmtId="0" fontId="11" fillId="0" borderId="1" xfId="0" applyFont="1" applyBorder="1" applyAlignment="1">
      <alignment vertical="center" wrapText="1"/>
    </xf>
    <xf numFmtId="165" fontId="0" fillId="0" borderId="0" xfId="0" applyNumberFormat="1"/>
    <xf numFmtId="166" fontId="0" fillId="0" borderId="0" xfId="0" applyNumberFormat="1"/>
    <xf numFmtId="167" fontId="0" fillId="0" borderId="0" xfId="0" applyNumberFormat="1"/>
    <xf numFmtId="1" fontId="0" fillId="0" borderId="0" xfId="0" applyNumberFormat="1"/>
    <xf numFmtId="14" fontId="0" fillId="0" borderId="0" xfId="0" applyNumberFormat="1"/>
    <xf numFmtId="165" fontId="4" fillId="0" borderId="0" xfId="0" applyNumberFormat="1" applyFont="1"/>
    <xf numFmtId="22" fontId="10" fillId="0" borderId="0" xfId="0" applyNumberFormat="1" applyFont="1"/>
    <xf numFmtId="0" fontId="9" fillId="6" borderId="0" xfId="0" applyFont="1" applyFill="1" applyAlignment="1">
      <alignment wrapText="1"/>
    </xf>
    <xf numFmtId="0" fontId="9" fillId="2" borderId="0" xfId="0" applyFont="1" applyFill="1"/>
    <xf numFmtId="0" fontId="0" fillId="2" borderId="0" xfId="0" applyFill="1"/>
    <xf numFmtId="0" fontId="6" fillId="6" borderId="0" xfId="0" applyFont="1" applyFill="1"/>
    <xf numFmtId="0" fontId="4" fillId="6" borderId="0" xfId="0" applyFont="1" applyFill="1"/>
    <xf numFmtId="0" fontId="12" fillId="0" borderId="0" xfId="0" applyFont="1" applyAlignment="1">
      <alignment horizontal="right"/>
    </xf>
    <xf numFmtId="0" fontId="9" fillId="0" borderId="0" xfId="0" applyFont="1"/>
    <xf numFmtId="1" fontId="4" fillId="0" borderId="0" xfId="0" applyNumberFormat="1" applyFont="1"/>
    <xf numFmtId="0" fontId="14" fillId="6" borderId="0" xfId="0" applyFont="1" applyFill="1" applyAlignment="1">
      <alignment vertical="center" wrapText="1"/>
    </xf>
    <xf numFmtId="0" fontId="13" fillId="6" borderId="0" xfId="0" applyFont="1" applyFill="1" applyAlignment="1">
      <alignment wrapText="1"/>
    </xf>
    <xf numFmtId="0" fontId="15" fillId="6" borderId="0" xfId="0" applyFont="1" applyFill="1" applyAlignment="1">
      <alignment wrapText="1"/>
    </xf>
    <xf numFmtId="0" fontId="16" fillId="0" borderId="0" xfId="0" applyFont="1"/>
    <xf numFmtId="165" fontId="16" fillId="0" borderId="0" xfId="0" applyNumberFormat="1" applyFont="1"/>
    <xf numFmtId="0" fontId="0" fillId="6" borderId="0" xfId="0" applyFill="1"/>
    <xf numFmtId="0" fontId="4" fillId="2" borderId="0" xfId="0" applyFont="1" applyFill="1"/>
    <xf numFmtId="0" fontId="4" fillId="2" borderId="0" xfId="0" applyFont="1" applyFill="1" applyAlignment="1">
      <alignment wrapText="1"/>
    </xf>
    <xf numFmtId="0" fontId="6" fillId="2" borderId="0" xfId="0" applyFont="1" applyFill="1"/>
    <xf numFmtId="0" fontId="11" fillId="2" borderId="0" xfId="0" applyFont="1" applyFill="1" applyAlignment="1">
      <alignment vertical="center" wrapText="1"/>
    </xf>
    <xf numFmtId="0" fontId="1" fillId="0" borderId="0" xfId="0" applyFont="1" applyAlignment="1">
      <alignment horizontal="center"/>
    </xf>
    <xf numFmtId="0" fontId="0" fillId="0" borderId="0" xfId="0" applyAlignment="1">
      <alignment horizontal="right"/>
    </xf>
    <xf numFmtId="0" fontId="0" fillId="7" borderId="0" xfId="0" applyFill="1"/>
    <xf numFmtId="22" fontId="4" fillId="0" borderId="0" xfId="0" applyNumberFormat="1" applyFont="1"/>
    <xf numFmtId="14" fontId="4" fillId="0" borderId="0" xfId="0" applyNumberFormat="1" applyFont="1"/>
    <xf numFmtId="167" fontId="4" fillId="0" borderId="0" xfId="0" applyNumberFormat="1" applyFont="1"/>
    <xf numFmtId="49" fontId="4" fillId="0" borderId="0" xfId="0" quotePrefix="1" applyNumberFormat="1" applyFont="1"/>
    <xf numFmtId="49" fontId="4" fillId="0" borderId="0" xfId="0" applyNumberFormat="1" applyFont="1"/>
    <xf numFmtId="1" fontId="16" fillId="0" borderId="0" xfId="0" applyNumberFormat="1" applyFont="1"/>
    <xf numFmtId="0" fontId="17" fillId="0" borderId="0" xfId="0" applyFont="1" applyAlignment="1">
      <alignment horizontal="center"/>
    </xf>
    <xf numFmtId="0" fontId="18" fillId="0" borderId="0" xfId="0" applyFont="1"/>
    <xf numFmtId="0" fontId="19" fillId="0" borderId="0" xfId="0" applyFont="1"/>
    <xf numFmtId="0" fontId="13" fillId="0" borderId="0" xfId="0" applyFont="1" applyAlignment="1">
      <alignment horizontal="center"/>
    </xf>
    <xf numFmtId="0" fontId="4" fillId="0" borderId="1" xfId="0" applyFont="1" applyBorder="1" applyAlignment="1">
      <alignment horizontal="center"/>
    </xf>
    <xf numFmtId="0" fontId="0" fillId="0" borderId="3" xfId="0" applyBorder="1" applyAlignment="1">
      <alignment horizontal="center"/>
    </xf>
    <xf numFmtId="0" fontId="4" fillId="0" borderId="0" xfId="0" applyFont="1" applyAlignment="1">
      <alignment horizontal="center"/>
    </xf>
    <xf numFmtId="165" fontId="4" fillId="0" borderId="0" xfId="0" applyNumberFormat="1" applyFont="1" applyAlignment="1">
      <alignment horizontal="center"/>
    </xf>
    <xf numFmtId="0" fontId="4" fillId="0" borderId="1" xfId="0" applyFont="1" applyBorder="1" applyAlignment="1">
      <alignment horizontal="center" vertical="center" wrapText="1"/>
    </xf>
    <xf numFmtId="0" fontId="4" fillId="0" borderId="3" xfId="0" applyFont="1" applyBorder="1" applyAlignment="1">
      <alignment horizontal="center"/>
    </xf>
    <xf numFmtId="0" fontId="20" fillId="0" borderId="0" xfId="0" applyFont="1" applyAlignment="1">
      <alignment horizontal="center" vertical="center"/>
    </xf>
    <xf numFmtId="0" fontId="20" fillId="0" borderId="0" xfId="0" applyFont="1" applyAlignment="1">
      <alignment horizontal="center" vertical="center" wrapText="1"/>
    </xf>
    <xf numFmtId="0" fontId="12" fillId="0" borderId="0" xfId="0" applyFont="1" applyAlignment="1">
      <alignment horizontal="center" vertical="center"/>
    </xf>
    <xf numFmtId="0" fontId="12" fillId="4" borderId="0" xfId="0" applyFont="1" applyFill="1" applyAlignment="1">
      <alignment horizontal="center" vertical="center"/>
    </xf>
    <xf numFmtId="0" fontId="4" fillId="0" borderId="5" xfId="0" applyFont="1" applyBorder="1"/>
    <xf numFmtId="0" fontId="0" fillId="0" borderId="5" xfId="0" applyBorder="1"/>
    <xf numFmtId="49" fontId="12" fillId="0" borderId="0" xfId="0" applyNumberFormat="1" applyFont="1" applyAlignment="1">
      <alignment horizontal="center" vertical="center"/>
    </xf>
    <xf numFmtId="49" fontId="9" fillId="0" borderId="0" xfId="0" applyNumberFormat="1" applyFont="1" applyAlignment="1">
      <alignment horizontal="center" vertical="center"/>
    </xf>
    <xf numFmtId="0" fontId="18" fillId="0" borderId="0" xfId="0" applyFont="1" applyProtection="1">
      <protection hidden="1"/>
    </xf>
    <xf numFmtId="0" fontId="18" fillId="3" borderId="11" xfId="0" applyFont="1" applyFill="1" applyBorder="1" applyProtection="1">
      <protection hidden="1"/>
    </xf>
    <xf numFmtId="0" fontId="18" fillId="3" borderId="12" xfId="0" applyFont="1" applyFill="1" applyBorder="1" applyProtection="1">
      <protection hidden="1"/>
    </xf>
    <xf numFmtId="0" fontId="18" fillId="5" borderId="0" xfId="0" applyFont="1" applyFill="1" applyProtection="1">
      <protection hidden="1"/>
    </xf>
    <xf numFmtId="0" fontId="0" fillId="0" borderId="0" xfId="0" applyProtection="1">
      <protection hidden="1"/>
    </xf>
    <xf numFmtId="164" fontId="0" fillId="0" borderId="0" xfId="0" applyNumberFormat="1" applyProtection="1">
      <protection hidden="1"/>
    </xf>
    <xf numFmtId="0" fontId="0" fillId="0" borderId="0" xfId="0" applyAlignment="1" applyProtection="1">
      <alignment horizontal="center"/>
      <protection hidden="1"/>
    </xf>
    <xf numFmtId="0" fontId="3" fillId="0" borderId="1" xfId="0" applyFont="1" applyBorder="1" applyProtection="1">
      <protection hidden="1"/>
    </xf>
    <xf numFmtId="0" fontId="1" fillId="2" borderId="2" xfId="0" applyFont="1" applyFill="1" applyBorder="1" applyProtection="1">
      <protection hidden="1"/>
    </xf>
    <xf numFmtId="0" fontId="1" fillId="0" borderId="2" xfId="0" applyFont="1" applyBorder="1" applyProtection="1">
      <protection hidden="1"/>
    </xf>
    <xf numFmtId="0" fontId="1" fillId="3" borderId="2" xfId="0" applyFont="1" applyFill="1" applyBorder="1" applyProtection="1">
      <protection hidden="1"/>
    </xf>
    <xf numFmtId="0" fontId="0" fillId="0" borderId="0" xfId="0" applyAlignment="1" applyProtection="1">
      <alignment horizontal="left"/>
      <protection hidden="1"/>
    </xf>
    <xf numFmtId="0" fontId="1" fillId="4" borderId="2" xfId="0" applyFont="1" applyFill="1" applyBorder="1" applyProtection="1">
      <protection hidden="1"/>
    </xf>
    <xf numFmtId="0" fontId="1" fillId="5" borderId="3" xfId="0" applyFont="1" applyFill="1" applyBorder="1" applyProtection="1">
      <protection hidden="1"/>
    </xf>
    <xf numFmtId="0" fontId="0" fillId="0" borderId="3" xfId="0" applyBorder="1" applyProtection="1">
      <protection hidden="1"/>
    </xf>
    <xf numFmtId="0" fontId="5" fillId="0" borderId="0" xfId="0" applyFont="1" applyProtection="1">
      <protection hidden="1"/>
    </xf>
    <xf numFmtId="0" fontId="1" fillId="0" borderId="0" xfId="0" applyFont="1" applyProtection="1">
      <protection hidden="1"/>
    </xf>
    <xf numFmtId="0" fontId="3" fillId="0" borderId="0" xfId="0" applyFont="1" applyProtection="1">
      <protection hidden="1"/>
    </xf>
    <xf numFmtId="164" fontId="3" fillId="0" borderId="0" xfId="0" applyNumberFormat="1" applyFont="1" applyProtection="1">
      <protection hidden="1"/>
    </xf>
    <xf numFmtId="0" fontId="3" fillId="0" borderId="0" xfId="0" applyFont="1" applyAlignment="1" applyProtection="1">
      <alignment horizontal="center"/>
      <protection hidden="1"/>
    </xf>
    <xf numFmtId="0" fontId="2" fillId="0" borderId="0" xfId="1" applyProtection="1">
      <protection hidden="1"/>
    </xf>
    <xf numFmtId="0" fontId="9" fillId="0" borderId="0" xfId="0" applyFont="1" applyAlignment="1" applyProtection="1">
      <alignment horizontal="center" wrapText="1"/>
      <protection hidden="1"/>
    </xf>
    <xf numFmtId="0" fontId="12" fillId="0" borderId="0" xfId="0" applyFont="1" applyProtection="1">
      <protection hidden="1"/>
    </xf>
    <xf numFmtId="0" fontId="1" fillId="0" borderId="0" xfId="0" applyFont="1" applyAlignment="1" applyProtection="1">
      <alignment horizontal="center"/>
      <protection hidden="1"/>
    </xf>
    <xf numFmtId="0" fontId="1" fillId="9" borderId="16" xfId="0" applyFont="1" applyFill="1" applyBorder="1" applyProtection="1">
      <protection hidden="1"/>
    </xf>
    <xf numFmtId="0" fontId="0" fillId="9" borderId="17" xfId="0" applyFill="1" applyBorder="1" applyProtection="1">
      <protection hidden="1"/>
    </xf>
    <xf numFmtId="0" fontId="0" fillId="9" borderId="18" xfId="0" applyFill="1" applyBorder="1" applyProtection="1">
      <protection hidden="1"/>
    </xf>
    <xf numFmtId="0" fontId="35" fillId="5" borderId="0" xfId="0" applyFont="1" applyFill="1" applyProtection="1">
      <protection hidden="1"/>
    </xf>
    <xf numFmtId="0" fontId="21" fillId="0" borderId="0" xfId="0" applyFont="1" applyAlignment="1">
      <alignment horizontal="center" vertical="center"/>
    </xf>
    <xf numFmtId="0" fontId="19" fillId="0" borderId="0" xfId="0" applyFont="1" applyAlignment="1">
      <alignment horizontal="center"/>
    </xf>
    <xf numFmtId="0" fontId="17" fillId="0" borderId="0" xfId="0" applyFont="1" applyAlignment="1">
      <alignment horizontal="center"/>
    </xf>
    <xf numFmtId="0" fontId="18" fillId="2" borderId="7" xfId="0" applyFont="1" applyFill="1" applyBorder="1" applyAlignment="1" applyProtection="1">
      <alignment horizontal="center"/>
      <protection hidden="1"/>
    </xf>
    <xf numFmtId="0" fontId="18" fillId="2" borderId="22" xfId="0" applyFont="1" applyFill="1" applyBorder="1" applyAlignment="1" applyProtection="1">
      <alignment horizontal="center"/>
      <protection hidden="1"/>
    </xf>
    <xf numFmtId="0" fontId="18" fillId="2" borderId="23" xfId="0" applyFont="1" applyFill="1" applyBorder="1" applyAlignment="1" applyProtection="1">
      <alignment horizontal="center"/>
      <protection hidden="1"/>
    </xf>
    <xf numFmtId="0" fontId="18" fillId="3" borderId="13" xfId="0" applyFont="1" applyFill="1" applyBorder="1" applyAlignment="1" applyProtection="1">
      <alignment horizontal="center"/>
      <protection hidden="1"/>
    </xf>
    <xf numFmtId="0" fontId="18" fillId="3" borderId="4" xfId="0" applyFont="1" applyFill="1" applyBorder="1" applyAlignment="1" applyProtection="1">
      <alignment horizontal="center"/>
      <protection hidden="1"/>
    </xf>
    <xf numFmtId="0" fontId="18" fillId="3" borderId="14" xfId="0" applyFont="1" applyFill="1" applyBorder="1" applyAlignment="1" applyProtection="1">
      <alignment horizontal="center"/>
      <protection hidden="1"/>
    </xf>
    <xf numFmtId="0" fontId="31" fillId="3" borderId="16" xfId="0" applyFont="1" applyFill="1" applyBorder="1" applyAlignment="1" applyProtection="1">
      <alignment horizontal="center"/>
      <protection hidden="1"/>
    </xf>
    <xf numFmtId="0" fontId="31" fillId="3" borderId="17" xfId="0" applyFont="1" applyFill="1" applyBorder="1" applyAlignment="1" applyProtection="1">
      <alignment horizontal="center"/>
      <protection hidden="1"/>
    </xf>
    <xf numFmtId="0" fontId="31" fillId="3" borderId="18" xfId="0" applyFont="1" applyFill="1" applyBorder="1" applyAlignment="1" applyProtection="1">
      <alignment horizontal="center"/>
      <protection hidden="1"/>
    </xf>
    <xf numFmtId="0" fontId="29" fillId="2" borderId="8" xfId="0" applyFont="1" applyFill="1" applyBorder="1" applyAlignment="1" applyProtection="1">
      <alignment horizontal="center"/>
      <protection hidden="1"/>
    </xf>
    <xf numFmtId="0" fontId="29" fillId="2" borderId="7" xfId="0" applyFont="1" applyFill="1" applyBorder="1" applyAlignment="1" applyProtection="1">
      <alignment horizontal="center"/>
      <protection hidden="1"/>
    </xf>
    <xf numFmtId="0" fontId="19" fillId="5" borderId="0" xfId="0" applyFont="1" applyFill="1" applyAlignment="1" applyProtection="1">
      <alignment horizontal="center" wrapText="1"/>
      <protection hidden="1"/>
    </xf>
    <xf numFmtId="0" fontId="18" fillId="5" borderId="0" xfId="0" applyFont="1" applyFill="1" applyAlignment="1" applyProtection="1">
      <alignment horizontal="center" wrapText="1"/>
      <protection hidden="1"/>
    </xf>
    <xf numFmtId="0" fontId="18" fillId="3" borderId="32" xfId="0" applyFont="1" applyFill="1" applyBorder="1" applyAlignment="1" applyProtection="1">
      <alignment horizontal="center"/>
      <protection hidden="1"/>
    </xf>
    <xf numFmtId="0" fontId="18" fillId="3" borderId="33" xfId="0" applyFont="1" applyFill="1" applyBorder="1" applyAlignment="1" applyProtection="1">
      <alignment horizontal="center"/>
      <protection hidden="1"/>
    </xf>
    <xf numFmtId="0" fontId="18" fillId="8" borderId="8" xfId="0" applyFont="1" applyFill="1" applyBorder="1" applyAlignment="1" applyProtection="1">
      <alignment horizontal="center"/>
      <protection locked="0"/>
    </xf>
    <xf numFmtId="0" fontId="18" fillId="8" borderId="7" xfId="0" applyFont="1" applyFill="1" applyBorder="1" applyAlignment="1" applyProtection="1">
      <alignment horizontal="center"/>
      <protection locked="0"/>
    </xf>
    <xf numFmtId="0" fontId="18" fillId="3" borderId="30" xfId="0" applyFont="1" applyFill="1" applyBorder="1" applyAlignment="1" applyProtection="1">
      <alignment horizontal="center"/>
      <protection hidden="1"/>
    </xf>
    <xf numFmtId="0" fontId="18" fillId="3" borderId="31" xfId="0" applyFont="1" applyFill="1" applyBorder="1" applyAlignment="1" applyProtection="1">
      <alignment horizontal="center"/>
      <protection hidden="1"/>
    </xf>
    <xf numFmtId="0" fontId="18" fillId="8" borderId="41" xfId="0" applyFont="1" applyFill="1" applyBorder="1" applyAlignment="1" applyProtection="1">
      <alignment horizontal="center"/>
      <protection locked="0"/>
    </xf>
    <xf numFmtId="0" fontId="18" fillId="8" borderId="42" xfId="0" applyFont="1" applyFill="1" applyBorder="1" applyAlignment="1" applyProtection="1">
      <alignment horizontal="center"/>
      <protection locked="0"/>
    </xf>
    <xf numFmtId="0" fontId="18" fillId="2" borderId="9" xfId="0" applyFont="1" applyFill="1" applyBorder="1" applyAlignment="1" applyProtection="1">
      <alignment horizontal="center"/>
      <protection hidden="1"/>
    </xf>
    <xf numFmtId="0" fontId="18" fillId="3" borderId="28" xfId="0" applyFont="1" applyFill="1" applyBorder="1" applyAlignment="1" applyProtection="1">
      <alignment horizontal="center"/>
      <protection hidden="1"/>
    </xf>
    <xf numFmtId="0" fontId="18" fillId="3" borderId="29" xfId="0" applyFont="1" applyFill="1" applyBorder="1" applyAlignment="1" applyProtection="1">
      <alignment horizontal="center"/>
      <protection hidden="1"/>
    </xf>
    <xf numFmtId="0" fontId="18" fillId="8" borderId="37" xfId="0" applyFont="1" applyFill="1" applyBorder="1" applyAlignment="1" applyProtection="1">
      <alignment horizontal="center"/>
      <protection locked="0"/>
    </xf>
    <xf numFmtId="0" fontId="18" fillId="8" borderId="38" xfId="0" applyFont="1" applyFill="1" applyBorder="1" applyAlignment="1" applyProtection="1">
      <alignment horizontal="center"/>
      <protection locked="0"/>
    </xf>
    <xf numFmtId="0" fontId="18" fillId="8" borderId="39" xfId="0" applyFont="1" applyFill="1" applyBorder="1" applyAlignment="1" applyProtection="1">
      <alignment horizontal="center"/>
      <protection locked="0"/>
    </xf>
    <xf numFmtId="0" fontId="19" fillId="3" borderId="13" xfId="0" applyFont="1" applyFill="1" applyBorder="1" applyAlignment="1" applyProtection="1">
      <alignment horizontal="center"/>
      <protection hidden="1"/>
    </xf>
    <xf numFmtId="0" fontId="19" fillId="3" borderId="4" xfId="0" applyFont="1" applyFill="1" applyBorder="1" applyAlignment="1" applyProtection="1">
      <alignment horizontal="center"/>
      <protection hidden="1"/>
    </xf>
    <xf numFmtId="0" fontId="19" fillId="3" borderId="14" xfId="0" applyFont="1" applyFill="1" applyBorder="1" applyAlignment="1" applyProtection="1">
      <alignment horizontal="center"/>
      <protection hidden="1"/>
    </xf>
    <xf numFmtId="0" fontId="19" fillId="2" borderId="8" xfId="0" applyFont="1" applyFill="1" applyBorder="1" applyAlignment="1" applyProtection="1">
      <alignment horizontal="center"/>
      <protection hidden="1"/>
    </xf>
    <xf numFmtId="0" fontId="19" fillId="2" borderId="7" xfId="0" applyFont="1" applyFill="1" applyBorder="1" applyAlignment="1" applyProtection="1">
      <alignment horizontal="center"/>
      <protection hidden="1"/>
    </xf>
    <xf numFmtId="0" fontId="25" fillId="3" borderId="24" xfId="0" applyFont="1" applyFill="1" applyBorder="1" applyAlignment="1" applyProtection="1">
      <alignment horizontal="center" vertical="center"/>
      <protection hidden="1"/>
    </xf>
    <xf numFmtId="0" fontId="25" fillId="3" borderId="26" xfId="0" applyFont="1" applyFill="1" applyBorder="1" applyAlignment="1" applyProtection="1">
      <alignment horizontal="center" vertical="center"/>
      <protection hidden="1"/>
    </xf>
    <xf numFmtId="0" fontId="25" fillId="3" borderId="27" xfId="0" applyFont="1" applyFill="1" applyBorder="1" applyAlignment="1" applyProtection="1">
      <alignment horizontal="center" vertical="center"/>
      <protection hidden="1"/>
    </xf>
    <xf numFmtId="0" fontId="25" fillId="3" borderId="25" xfId="0" applyFont="1" applyFill="1" applyBorder="1" applyAlignment="1" applyProtection="1">
      <alignment horizontal="center" vertical="center"/>
      <protection hidden="1"/>
    </xf>
    <xf numFmtId="0" fontId="19" fillId="3" borderId="19" xfId="0" applyFont="1" applyFill="1" applyBorder="1" applyAlignment="1" applyProtection="1">
      <alignment horizontal="center"/>
      <protection hidden="1"/>
    </xf>
    <xf numFmtId="0" fontId="19" fillId="3" borderId="0" xfId="0" applyFont="1" applyFill="1" applyAlignment="1" applyProtection="1">
      <alignment horizontal="center"/>
      <protection hidden="1"/>
    </xf>
    <xf numFmtId="0" fontId="19" fillId="3" borderId="20" xfId="0" applyFont="1" applyFill="1" applyBorder="1" applyAlignment="1" applyProtection="1">
      <alignment horizontal="center"/>
      <protection hidden="1"/>
    </xf>
    <xf numFmtId="0" fontId="26" fillId="3" borderId="19" xfId="0" applyFont="1" applyFill="1" applyBorder="1" applyAlignment="1" applyProtection="1">
      <alignment horizontal="center"/>
      <protection hidden="1"/>
    </xf>
    <xf numFmtId="0" fontId="26" fillId="3" borderId="0" xfId="0" applyFont="1" applyFill="1" applyAlignment="1" applyProtection="1">
      <alignment horizontal="center"/>
      <protection hidden="1"/>
    </xf>
    <xf numFmtId="0" fontId="26" fillId="3" borderId="20" xfId="0" applyFont="1" applyFill="1" applyBorder="1" applyAlignment="1" applyProtection="1">
      <alignment horizontal="center"/>
      <protection hidden="1"/>
    </xf>
    <xf numFmtId="0" fontId="33" fillId="3" borderId="10" xfId="0" applyFont="1" applyFill="1" applyBorder="1" applyAlignment="1" applyProtection="1">
      <alignment horizontal="center"/>
      <protection hidden="1"/>
    </xf>
    <xf numFmtId="0" fontId="33" fillId="3" borderId="11" xfId="0" applyFont="1" applyFill="1" applyBorder="1" applyAlignment="1" applyProtection="1">
      <alignment horizontal="center"/>
      <protection hidden="1"/>
    </xf>
    <xf numFmtId="0" fontId="24" fillId="3" borderId="17" xfId="0" applyFont="1" applyFill="1" applyBorder="1" applyAlignment="1" applyProtection="1">
      <alignment horizontal="center"/>
      <protection hidden="1"/>
    </xf>
    <xf numFmtId="0" fontId="26" fillId="3" borderId="17" xfId="0" applyFont="1" applyFill="1" applyBorder="1" applyAlignment="1" applyProtection="1">
      <alignment horizontal="center"/>
      <protection hidden="1"/>
    </xf>
    <xf numFmtId="0" fontId="26" fillId="3" borderId="18" xfId="0" applyFont="1" applyFill="1" applyBorder="1" applyAlignment="1" applyProtection="1">
      <alignment horizontal="center"/>
      <protection hidden="1"/>
    </xf>
    <xf numFmtId="0" fontId="19" fillId="2" borderId="21" xfId="0" applyFont="1" applyFill="1" applyBorder="1" applyAlignment="1" applyProtection="1">
      <alignment horizontal="center"/>
      <protection hidden="1"/>
    </xf>
    <xf numFmtId="0" fontId="19" fillId="2" borderId="9" xfId="0" applyFont="1" applyFill="1" applyBorder="1" applyAlignment="1" applyProtection="1">
      <alignment horizontal="center"/>
      <protection hidden="1"/>
    </xf>
    <xf numFmtId="0" fontId="29" fillId="2" borderId="9" xfId="0" applyFont="1" applyFill="1" applyBorder="1" applyAlignment="1" applyProtection="1">
      <alignment horizontal="center"/>
      <protection hidden="1"/>
    </xf>
    <xf numFmtId="0" fontId="34" fillId="2" borderId="9" xfId="0" applyFont="1" applyFill="1" applyBorder="1" applyAlignment="1" applyProtection="1">
      <alignment horizontal="center" vertical="center"/>
      <protection hidden="1"/>
    </xf>
    <xf numFmtId="0" fontId="34" fillId="2" borderId="7" xfId="0" applyFont="1" applyFill="1" applyBorder="1" applyAlignment="1" applyProtection="1">
      <alignment horizontal="center" vertical="center"/>
      <protection hidden="1"/>
    </xf>
    <xf numFmtId="0" fontId="26" fillId="3" borderId="13" xfId="0" applyFont="1" applyFill="1" applyBorder="1" applyAlignment="1" applyProtection="1">
      <alignment horizontal="center"/>
      <protection hidden="1"/>
    </xf>
    <xf numFmtId="0" fontId="26" fillId="3" borderId="4" xfId="0" applyFont="1" applyFill="1" applyBorder="1" applyAlignment="1" applyProtection="1">
      <alignment horizontal="center"/>
      <protection hidden="1"/>
    </xf>
    <xf numFmtId="0" fontId="26" fillId="3" borderId="14" xfId="0" applyFont="1" applyFill="1" applyBorder="1" applyAlignment="1" applyProtection="1">
      <alignment horizontal="center"/>
      <protection hidden="1"/>
    </xf>
    <xf numFmtId="0" fontId="18" fillId="2" borderId="0" xfId="0" applyFont="1" applyFill="1" applyAlignment="1" applyProtection="1">
      <alignment horizontal="center"/>
      <protection hidden="1"/>
    </xf>
    <xf numFmtId="0" fontId="32" fillId="2" borderId="9" xfId="0" applyFont="1" applyFill="1" applyBorder="1" applyAlignment="1" applyProtection="1">
      <alignment horizontal="center" vertical="center"/>
      <protection hidden="1"/>
    </xf>
    <xf numFmtId="0" fontId="32" fillId="2" borderId="7" xfId="0" applyFont="1" applyFill="1" applyBorder="1" applyAlignment="1" applyProtection="1">
      <alignment horizontal="center" vertical="center"/>
      <protection hidden="1"/>
    </xf>
    <xf numFmtId="0" fontId="26" fillId="3" borderId="16" xfId="0" applyFont="1" applyFill="1" applyBorder="1" applyAlignment="1" applyProtection="1">
      <alignment horizontal="center"/>
      <protection hidden="1"/>
    </xf>
    <xf numFmtId="0" fontId="21" fillId="3" borderId="10" xfId="0" applyFont="1" applyFill="1" applyBorder="1" applyAlignment="1" applyProtection="1">
      <alignment horizontal="center" vertical="center"/>
      <protection hidden="1"/>
    </xf>
    <xf numFmtId="0" fontId="21" fillId="3" borderId="11" xfId="0" applyFont="1" applyFill="1" applyBorder="1" applyAlignment="1" applyProtection="1">
      <alignment horizontal="center" vertical="center"/>
      <protection hidden="1"/>
    </xf>
    <xf numFmtId="0" fontId="21" fillId="3" borderId="12" xfId="0" applyFont="1" applyFill="1" applyBorder="1" applyAlignment="1" applyProtection="1">
      <alignment horizontal="center" vertical="center"/>
      <protection hidden="1"/>
    </xf>
    <xf numFmtId="0" fontId="21" fillId="3" borderId="13" xfId="0" applyFont="1" applyFill="1" applyBorder="1" applyAlignment="1" applyProtection="1">
      <alignment horizontal="center" vertical="center"/>
      <protection hidden="1"/>
    </xf>
    <xf numFmtId="0" fontId="21" fillId="3" borderId="4" xfId="0" applyFont="1" applyFill="1" applyBorder="1" applyAlignment="1" applyProtection="1">
      <alignment horizontal="center" vertical="center"/>
      <protection hidden="1"/>
    </xf>
    <xf numFmtId="0" fontId="21" fillId="3" borderId="14" xfId="0" applyFont="1" applyFill="1" applyBorder="1" applyAlignment="1" applyProtection="1">
      <alignment horizontal="center" vertical="center"/>
      <protection hidden="1"/>
    </xf>
    <xf numFmtId="0" fontId="18" fillId="2" borderId="37" xfId="0" applyFont="1" applyFill="1" applyBorder="1" applyAlignment="1" applyProtection="1">
      <alignment horizontal="center"/>
      <protection hidden="1"/>
    </xf>
    <xf numFmtId="0" fontId="18" fillId="2" borderId="38" xfId="0" applyFont="1" applyFill="1" applyBorder="1" applyAlignment="1" applyProtection="1">
      <alignment horizontal="center"/>
      <protection hidden="1"/>
    </xf>
    <xf numFmtId="0" fontId="18" fillId="2" borderId="39" xfId="0" applyFont="1" applyFill="1" applyBorder="1" applyAlignment="1" applyProtection="1">
      <alignment horizontal="center"/>
      <protection hidden="1"/>
    </xf>
    <xf numFmtId="0" fontId="22" fillId="3" borderId="19" xfId="0" applyFont="1" applyFill="1" applyBorder="1" applyAlignment="1" applyProtection="1">
      <alignment horizontal="center" vertical="center" wrapText="1"/>
      <protection hidden="1"/>
    </xf>
    <xf numFmtId="0" fontId="22" fillId="3" borderId="0" xfId="0" applyFont="1" applyFill="1" applyAlignment="1" applyProtection="1">
      <alignment horizontal="center" vertical="center" wrapText="1"/>
      <protection hidden="1"/>
    </xf>
    <xf numFmtId="0" fontId="22" fillId="3" borderId="20" xfId="0" applyFont="1" applyFill="1" applyBorder="1" applyAlignment="1" applyProtection="1">
      <alignment horizontal="center" vertical="center" wrapText="1"/>
      <protection hidden="1"/>
    </xf>
    <xf numFmtId="0" fontId="22" fillId="3" borderId="13" xfId="0" applyFont="1" applyFill="1" applyBorder="1" applyAlignment="1" applyProtection="1">
      <alignment horizontal="center" vertical="center" wrapText="1"/>
      <protection hidden="1"/>
    </xf>
    <xf numFmtId="0" fontId="22" fillId="3" borderId="4" xfId="0" applyFont="1" applyFill="1" applyBorder="1" applyAlignment="1" applyProtection="1">
      <alignment horizontal="center" vertical="center" wrapText="1"/>
      <protection hidden="1"/>
    </xf>
    <xf numFmtId="0" fontId="22" fillId="3" borderId="14" xfId="0" applyFont="1" applyFill="1" applyBorder="1" applyAlignment="1" applyProtection="1">
      <alignment horizontal="center" vertical="center" wrapText="1"/>
      <protection hidden="1"/>
    </xf>
    <xf numFmtId="0" fontId="30" fillId="2" borderId="8" xfId="0" applyFont="1" applyFill="1" applyBorder="1" applyAlignment="1" applyProtection="1">
      <alignment horizontal="center" vertical="center"/>
      <protection hidden="1"/>
    </xf>
    <xf numFmtId="0" fontId="30" fillId="2" borderId="7" xfId="0" applyFont="1" applyFill="1" applyBorder="1" applyAlignment="1" applyProtection="1">
      <alignment horizontal="center" vertical="center"/>
      <protection hidden="1"/>
    </xf>
    <xf numFmtId="0" fontId="18" fillId="2" borderId="36" xfId="0" applyFont="1" applyFill="1" applyBorder="1" applyAlignment="1" applyProtection="1">
      <alignment horizontal="center"/>
      <protection hidden="1"/>
    </xf>
    <xf numFmtId="0" fontId="18" fillId="2" borderId="6" xfId="0" applyFont="1" applyFill="1" applyBorder="1" applyAlignment="1" applyProtection="1">
      <alignment horizontal="center"/>
      <protection hidden="1"/>
    </xf>
    <xf numFmtId="0" fontId="18" fillId="2" borderId="21" xfId="0" applyFont="1" applyFill="1" applyBorder="1" applyAlignment="1" applyProtection="1">
      <alignment horizontal="center"/>
      <protection hidden="1"/>
    </xf>
    <xf numFmtId="0" fontId="25" fillId="3" borderId="16" xfId="0" applyFont="1" applyFill="1" applyBorder="1" applyAlignment="1" applyProtection="1">
      <alignment horizontal="center"/>
      <protection hidden="1"/>
    </xf>
    <xf numFmtId="0" fontId="25" fillId="3" borderId="17" xfId="0" applyFont="1" applyFill="1" applyBorder="1" applyAlignment="1" applyProtection="1">
      <alignment horizontal="center"/>
      <protection hidden="1"/>
    </xf>
    <xf numFmtId="0" fontId="25" fillId="3" borderId="18" xfId="0" applyFont="1" applyFill="1" applyBorder="1" applyAlignment="1" applyProtection="1">
      <alignment horizontal="center"/>
      <protection hidden="1"/>
    </xf>
    <xf numFmtId="0" fontId="22" fillId="3" borderId="10" xfId="0" applyFont="1" applyFill="1" applyBorder="1" applyAlignment="1" applyProtection="1">
      <alignment horizontal="center"/>
      <protection hidden="1"/>
    </xf>
    <xf numFmtId="0" fontId="22" fillId="3" borderId="11" xfId="0" applyFont="1" applyFill="1" applyBorder="1" applyAlignment="1" applyProtection="1">
      <alignment horizontal="center"/>
      <protection hidden="1"/>
    </xf>
    <xf numFmtId="0" fontId="27" fillId="3" borderId="17" xfId="0" applyFont="1" applyFill="1" applyBorder="1" applyAlignment="1" applyProtection="1">
      <alignment horizontal="center"/>
      <protection hidden="1"/>
    </xf>
    <xf numFmtId="0" fontId="27" fillId="3" borderId="18" xfId="0" applyFont="1" applyFill="1" applyBorder="1" applyAlignment="1" applyProtection="1">
      <alignment horizontal="center"/>
      <protection hidden="1"/>
    </xf>
    <xf numFmtId="0" fontId="32" fillId="2" borderId="15" xfId="0" applyFont="1" applyFill="1" applyBorder="1" applyAlignment="1" applyProtection="1">
      <alignment horizontal="center" vertical="center"/>
      <protection hidden="1"/>
    </xf>
    <xf numFmtId="0" fontId="18" fillId="8" borderId="40" xfId="0" applyFont="1" applyFill="1" applyBorder="1" applyAlignment="1" applyProtection="1">
      <alignment horizontal="center"/>
      <protection locked="0"/>
    </xf>
    <xf numFmtId="0" fontId="27" fillId="3" borderId="19" xfId="0" applyFont="1" applyFill="1" applyBorder="1" applyAlignment="1" applyProtection="1">
      <alignment horizontal="center" vertical="center"/>
      <protection hidden="1"/>
    </xf>
    <xf numFmtId="0" fontId="27" fillId="3" borderId="0" xfId="0" applyFont="1" applyFill="1" applyAlignment="1" applyProtection="1">
      <alignment horizontal="center" vertical="center"/>
      <protection hidden="1"/>
    </xf>
    <xf numFmtId="0" fontId="27" fillId="3" borderId="20" xfId="0" applyFont="1" applyFill="1" applyBorder="1" applyAlignment="1" applyProtection="1">
      <alignment horizontal="center" vertical="center"/>
      <protection hidden="1"/>
    </xf>
    <xf numFmtId="0" fontId="18" fillId="8" borderId="0" xfId="0" applyFont="1" applyFill="1" applyAlignment="1" applyProtection="1">
      <alignment horizontal="center"/>
      <protection locked="0"/>
    </xf>
    <xf numFmtId="0" fontId="27" fillId="3" borderId="13" xfId="0" applyFont="1" applyFill="1" applyBorder="1" applyAlignment="1" applyProtection="1">
      <alignment horizontal="center" vertical="center"/>
      <protection hidden="1"/>
    </xf>
    <xf numFmtId="0" fontId="27" fillId="3" borderId="4" xfId="0" applyFont="1" applyFill="1" applyBorder="1" applyAlignment="1" applyProtection="1">
      <alignment horizontal="center" vertical="center"/>
      <protection hidden="1"/>
    </xf>
    <xf numFmtId="0" fontId="27" fillId="3" borderId="14" xfId="0" applyFont="1" applyFill="1" applyBorder="1" applyAlignment="1" applyProtection="1">
      <alignment horizontal="center" vertical="center"/>
      <protection hidden="1"/>
    </xf>
    <xf numFmtId="0" fontId="22" fillId="3" borderId="10" xfId="0" applyFont="1" applyFill="1" applyBorder="1" applyAlignment="1" applyProtection="1">
      <alignment horizontal="center" vertical="center" wrapText="1"/>
      <protection hidden="1"/>
    </xf>
    <xf numFmtId="0" fontId="22" fillId="3" borderId="11" xfId="0" applyFont="1" applyFill="1" applyBorder="1" applyAlignment="1" applyProtection="1">
      <alignment horizontal="center" vertical="center" wrapText="1"/>
      <protection hidden="1"/>
    </xf>
    <xf numFmtId="0" fontId="23" fillId="8" borderId="34" xfId="0" applyFont="1" applyFill="1" applyBorder="1" applyAlignment="1" applyProtection="1">
      <alignment horizontal="center" vertical="center"/>
      <protection locked="0"/>
    </xf>
    <xf numFmtId="0" fontId="23" fillId="8" borderId="22" xfId="0" applyFont="1" applyFill="1" applyBorder="1" applyAlignment="1" applyProtection="1">
      <alignment horizontal="center" vertical="center"/>
      <protection locked="0"/>
    </xf>
    <xf numFmtId="0" fontId="23" fillId="8" borderId="23" xfId="0" applyFont="1" applyFill="1" applyBorder="1" applyAlignment="1" applyProtection="1">
      <alignment horizontal="center" vertical="center"/>
      <protection locked="0"/>
    </xf>
    <xf numFmtId="0" fontId="23" fillId="8" borderId="35" xfId="0" applyFont="1" applyFill="1" applyBorder="1" applyAlignment="1" applyProtection="1">
      <alignment horizontal="center" vertical="center"/>
      <protection locked="0"/>
    </xf>
    <xf numFmtId="0" fontId="23" fillId="8" borderId="6" xfId="0" applyFont="1" applyFill="1" applyBorder="1" applyAlignment="1" applyProtection="1">
      <alignment horizontal="center" vertical="center"/>
      <protection locked="0"/>
    </xf>
    <xf numFmtId="0" fontId="23" fillId="8" borderId="21" xfId="0" applyFont="1" applyFill="1" applyBorder="1" applyAlignment="1" applyProtection="1">
      <alignment horizontal="center" vertical="center"/>
      <protection locked="0"/>
    </xf>
    <xf numFmtId="0" fontId="28" fillId="3" borderId="10" xfId="0" applyFont="1" applyFill="1" applyBorder="1" applyAlignment="1" applyProtection="1">
      <alignment horizontal="center" wrapText="1"/>
      <protection hidden="1"/>
    </xf>
    <xf numFmtId="0" fontId="28" fillId="3" borderId="11" xfId="0" applyFont="1" applyFill="1" applyBorder="1" applyAlignment="1" applyProtection="1">
      <alignment horizontal="center" wrapText="1"/>
      <protection hidden="1"/>
    </xf>
    <xf numFmtId="0" fontId="28" fillId="3" borderId="19" xfId="0" applyFont="1" applyFill="1" applyBorder="1" applyAlignment="1" applyProtection="1">
      <alignment horizontal="center" wrapText="1"/>
      <protection hidden="1"/>
    </xf>
    <xf numFmtId="0" fontId="28" fillId="3" borderId="0" xfId="0" applyFont="1" applyFill="1" applyAlignment="1" applyProtection="1">
      <alignment horizontal="center" wrapText="1"/>
      <protection hidden="1"/>
    </xf>
    <xf numFmtId="0" fontId="24" fillId="3" borderId="11" xfId="0" applyFont="1" applyFill="1" applyBorder="1" applyAlignment="1" applyProtection="1">
      <alignment horizontal="center" wrapText="1"/>
      <protection hidden="1"/>
    </xf>
    <xf numFmtId="0" fontId="24" fillId="3" borderId="12" xfId="0" applyFont="1" applyFill="1" applyBorder="1" applyAlignment="1" applyProtection="1">
      <alignment horizontal="center" wrapText="1"/>
      <protection hidden="1"/>
    </xf>
    <xf numFmtId="0" fontId="24" fillId="3" borderId="4" xfId="0" applyFont="1" applyFill="1" applyBorder="1" applyAlignment="1" applyProtection="1">
      <alignment horizontal="center" wrapText="1"/>
      <protection hidden="1"/>
    </xf>
    <xf numFmtId="0" fontId="24" fillId="3" borderId="14" xfId="0" applyFont="1" applyFill="1" applyBorder="1" applyAlignment="1" applyProtection="1">
      <alignment horizontal="center" wrapText="1"/>
      <protection hidden="1"/>
    </xf>
    <xf numFmtId="0" fontId="32" fillId="2" borderId="9" xfId="0" applyFont="1" applyFill="1" applyBorder="1" applyAlignment="1" applyProtection="1">
      <alignment horizontal="center" vertical="center"/>
      <protection locked="0"/>
    </xf>
    <xf numFmtId="0" fontId="32" fillId="2" borderId="15" xfId="0" applyFont="1" applyFill="1" applyBorder="1" applyAlignment="1" applyProtection="1">
      <alignment horizontal="center" vertical="center"/>
      <protection locked="0"/>
    </xf>
    <xf numFmtId="0" fontId="30" fillId="2" borderId="21" xfId="0" applyFont="1" applyFill="1" applyBorder="1" applyAlignment="1" applyProtection="1">
      <alignment horizontal="center" vertical="center"/>
      <protection hidden="1"/>
    </xf>
    <xf numFmtId="0" fontId="30" fillId="2" borderId="9" xfId="0" applyFont="1" applyFill="1" applyBorder="1" applyAlignment="1" applyProtection="1">
      <alignment horizontal="center" vertical="center"/>
      <protection hidden="1"/>
    </xf>
  </cellXfs>
  <cellStyles count="2">
    <cellStyle name="Hyperlink" xfId="1" builtinId="8"/>
    <cellStyle name="Normal" xfId="0" builtinId="0"/>
  </cellStyles>
  <dxfs count="9">
    <dxf>
      <font>
        <b/>
        <i val="0"/>
        <strike val="0"/>
        <color rgb="FFFF0000"/>
      </font>
      <fill>
        <patternFill>
          <bgColor theme="6" tint="0.79998168889431442"/>
        </patternFill>
      </fill>
    </dxf>
    <dxf>
      <fill>
        <patternFill>
          <bgColor theme="5" tint="0.39994506668294322"/>
        </patternFill>
      </fill>
    </dxf>
    <dxf>
      <fill>
        <patternFill>
          <bgColor theme="5" tint="0.39994506668294322"/>
        </patternFill>
      </fill>
    </dxf>
    <dxf>
      <fill>
        <patternFill>
          <bgColor theme="9" tint="0.79998168889431442"/>
        </patternFill>
      </fill>
    </dxf>
    <dxf>
      <fill>
        <patternFill>
          <bgColor rgb="FF92D050"/>
        </patternFill>
      </fill>
    </dxf>
    <dxf>
      <fill>
        <patternFill>
          <bgColor rgb="FF92D050"/>
        </patternFill>
      </fill>
    </dxf>
    <dxf>
      <fill>
        <patternFill>
          <bgColor rgb="FF92D050"/>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45D32-5521-4F79-94DE-5D36885D3055}">
  <dimension ref="A1:K254"/>
  <sheetViews>
    <sheetView tabSelected="1" workbookViewId="0">
      <selection activeCell="F166" sqref="F166:F229"/>
    </sheetView>
  </sheetViews>
  <sheetFormatPr defaultColWidth="9.140625" defaultRowHeight="15" x14ac:dyDescent="0.25"/>
  <cols>
    <col min="1" max="1" width="17.28515625" style="70" customWidth="1"/>
    <col min="2" max="2" width="35.5703125" style="70" customWidth="1"/>
    <col min="3" max="3" width="11.140625" style="71" customWidth="1"/>
    <col min="4" max="4" width="13" style="71" customWidth="1"/>
    <col min="5" max="5" width="15" style="70" customWidth="1"/>
    <col min="6" max="6" width="36" style="70" customWidth="1"/>
    <col min="7" max="7" width="9.140625" style="72"/>
    <col min="8" max="8" width="19.5703125" style="70" customWidth="1"/>
    <col min="9" max="9" width="18" style="70" customWidth="1"/>
    <col min="10" max="10" width="23.5703125" style="70" customWidth="1"/>
    <col min="11" max="11" width="25.7109375" style="70" customWidth="1"/>
    <col min="12" max="16384" width="9.140625" style="70"/>
  </cols>
  <sheetData>
    <row r="1" spans="1:11" x14ac:dyDescent="0.25">
      <c r="A1" s="70" t="s">
        <v>1062</v>
      </c>
      <c r="B1" s="70" t="s">
        <v>1091</v>
      </c>
      <c r="H1" s="73" t="s">
        <v>5</v>
      </c>
      <c r="I1" s="73" t="s">
        <v>8</v>
      </c>
      <c r="J1" s="73" t="s">
        <v>9</v>
      </c>
    </row>
    <row r="2" spans="1:11" x14ac:dyDescent="0.25">
      <c r="A2" s="70" t="s">
        <v>1096</v>
      </c>
      <c r="B2" s="70" t="s">
        <v>1093</v>
      </c>
      <c r="H2" s="74" t="s">
        <v>12</v>
      </c>
      <c r="I2" s="74" t="s">
        <v>21</v>
      </c>
      <c r="J2" s="75" t="s">
        <v>25</v>
      </c>
    </row>
    <row r="3" spans="1:11" x14ac:dyDescent="0.25">
      <c r="A3" s="70" t="s">
        <v>1095</v>
      </c>
      <c r="B3" s="70" t="s">
        <v>1094</v>
      </c>
      <c r="H3" s="76" t="s">
        <v>13</v>
      </c>
      <c r="I3" s="76" t="s">
        <v>22</v>
      </c>
      <c r="J3" s="75" t="s">
        <v>26</v>
      </c>
    </row>
    <row r="4" spans="1:11" x14ac:dyDescent="0.25">
      <c r="A4" s="70" t="s">
        <v>1097</v>
      </c>
      <c r="B4" s="77">
        <v>232</v>
      </c>
      <c r="H4" s="76" t="s">
        <v>14</v>
      </c>
      <c r="I4" s="76"/>
      <c r="J4" s="75" t="s">
        <v>27</v>
      </c>
    </row>
    <row r="5" spans="1:11" x14ac:dyDescent="0.25">
      <c r="A5" s="70" t="s">
        <v>1099</v>
      </c>
      <c r="B5" s="70" t="s">
        <v>1098</v>
      </c>
      <c r="H5" s="76" t="s">
        <v>15</v>
      </c>
      <c r="I5" s="76"/>
      <c r="J5" s="75" t="s">
        <v>28</v>
      </c>
    </row>
    <row r="6" spans="1:11" x14ac:dyDescent="0.25">
      <c r="H6" s="78" t="s">
        <v>16</v>
      </c>
      <c r="I6" s="78" t="s">
        <v>23</v>
      </c>
      <c r="J6" s="75" t="s">
        <v>29</v>
      </c>
    </row>
    <row r="7" spans="1:11" x14ac:dyDescent="0.25">
      <c r="H7" s="78" t="s">
        <v>17</v>
      </c>
      <c r="I7" s="78"/>
      <c r="J7" s="75" t="s">
        <v>30</v>
      </c>
    </row>
    <row r="8" spans="1:11" x14ac:dyDescent="0.25">
      <c r="H8" s="78" t="s">
        <v>18</v>
      </c>
      <c r="I8" s="78"/>
      <c r="J8" s="75" t="s">
        <v>31</v>
      </c>
    </row>
    <row r="9" spans="1:11" x14ac:dyDescent="0.25">
      <c r="H9" s="78" t="s">
        <v>19</v>
      </c>
      <c r="I9" s="78"/>
      <c r="J9" s="75" t="s">
        <v>32</v>
      </c>
    </row>
    <row r="10" spans="1:11" ht="15.75" thickBot="1" x14ac:dyDescent="0.3">
      <c r="H10" s="79" t="s">
        <v>20</v>
      </c>
      <c r="I10" s="79" t="s">
        <v>24</v>
      </c>
      <c r="J10" s="80"/>
    </row>
    <row r="11" spans="1:11" ht="18.75" x14ac:dyDescent="0.3">
      <c r="A11" s="81" t="s">
        <v>820</v>
      </c>
      <c r="H11" s="82"/>
      <c r="I11" s="82"/>
      <c r="J11" s="82"/>
    </row>
    <row r="12" spans="1:11" x14ac:dyDescent="0.25">
      <c r="A12" s="83" t="s">
        <v>6</v>
      </c>
      <c r="B12" s="83" t="s">
        <v>7</v>
      </c>
      <c r="C12" s="84" t="s">
        <v>1</v>
      </c>
      <c r="D12" s="84" t="s">
        <v>2</v>
      </c>
      <c r="E12" s="83" t="s">
        <v>3</v>
      </c>
      <c r="F12" s="83" t="s">
        <v>11</v>
      </c>
      <c r="G12" s="85" t="s">
        <v>10</v>
      </c>
      <c r="H12" s="83" t="s">
        <v>5</v>
      </c>
      <c r="I12" s="83" t="s">
        <v>8</v>
      </c>
      <c r="J12" s="83" t="s">
        <v>9</v>
      </c>
      <c r="K12" s="83" t="s">
        <v>4</v>
      </c>
    </row>
    <row r="13" spans="1:11" x14ac:dyDescent="0.25">
      <c r="A13" s="70" t="s">
        <v>33</v>
      </c>
      <c r="B13" s="70" t="s">
        <v>180</v>
      </c>
      <c r="C13" s="71">
        <v>32.195447000000001</v>
      </c>
      <c r="D13" s="71">
        <v>-94.914913999999996</v>
      </c>
      <c r="E13" s="70" t="s">
        <v>325</v>
      </c>
      <c r="F13" s="86" t="str">
        <f>HYPERLINK("https://maps.google.com/?q="&amp;C13&amp;","&amp;D13)</f>
        <v>https://maps.google.com/?q=32.195447,-94.914914</v>
      </c>
      <c r="G13" s="72">
        <v>2263</v>
      </c>
      <c r="H13" s="70" t="s">
        <v>13</v>
      </c>
      <c r="I13" s="70" t="s">
        <v>333</v>
      </c>
      <c r="J13" s="70" t="s">
        <v>334</v>
      </c>
      <c r="K13" s="70" t="s">
        <v>345</v>
      </c>
    </row>
    <row r="14" spans="1:11" x14ac:dyDescent="0.25">
      <c r="A14" s="70" t="s">
        <v>34</v>
      </c>
      <c r="B14" s="70" t="s">
        <v>181</v>
      </c>
      <c r="C14" s="71">
        <v>31.311059</v>
      </c>
      <c r="D14" s="71">
        <v>-96.617508000000001</v>
      </c>
      <c r="E14" s="70" t="s">
        <v>325</v>
      </c>
      <c r="F14" s="86" t="str">
        <f t="shared" ref="F14:F77" si="0">HYPERLINK("https://maps.google.com/?q="&amp;C14&amp;","&amp;D14)</f>
        <v>https://maps.google.com/?q=31.311059,-96.617508</v>
      </c>
      <c r="G14" s="72">
        <v>1037</v>
      </c>
      <c r="H14" s="70" t="s">
        <v>13</v>
      </c>
      <c r="I14" s="70" t="s">
        <v>333</v>
      </c>
      <c r="J14" s="70" t="s">
        <v>334</v>
      </c>
      <c r="K14" s="70" t="s">
        <v>346</v>
      </c>
    </row>
    <row r="15" spans="1:11" x14ac:dyDescent="0.25">
      <c r="A15" s="70" t="s">
        <v>35</v>
      </c>
      <c r="B15" s="70" t="s">
        <v>182</v>
      </c>
      <c r="C15" s="71">
        <v>32.542496</v>
      </c>
      <c r="D15" s="71">
        <v>-94.815797000000003</v>
      </c>
      <c r="E15" s="70" t="s">
        <v>325</v>
      </c>
      <c r="F15" s="86" t="str">
        <f t="shared" si="0"/>
        <v>https://maps.google.com/?q=32.542496,-94.815797</v>
      </c>
      <c r="G15" s="72">
        <v>1071</v>
      </c>
      <c r="H15" s="70" t="s">
        <v>13</v>
      </c>
      <c r="I15" s="70" t="s">
        <v>333</v>
      </c>
      <c r="J15" s="70" t="s">
        <v>334</v>
      </c>
      <c r="K15" s="70" t="s">
        <v>347</v>
      </c>
    </row>
    <row r="16" spans="1:11" x14ac:dyDescent="0.25">
      <c r="A16" s="70" t="s">
        <v>36</v>
      </c>
      <c r="B16" s="70" t="s">
        <v>183</v>
      </c>
      <c r="C16" s="71">
        <v>32.53087</v>
      </c>
      <c r="D16" s="71">
        <v>-95.640590000000003</v>
      </c>
      <c r="E16" s="70" t="s">
        <v>325</v>
      </c>
      <c r="F16" s="86" t="str">
        <f t="shared" si="0"/>
        <v>https://maps.google.com/?q=32.53087,-95.64059</v>
      </c>
      <c r="G16" s="72">
        <v>642</v>
      </c>
      <c r="H16" s="70" t="s">
        <v>13</v>
      </c>
      <c r="I16" s="70" t="s">
        <v>333</v>
      </c>
      <c r="J16" s="70" t="s">
        <v>334</v>
      </c>
      <c r="K16" s="70" t="s">
        <v>348</v>
      </c>
    </row>
    <row r="17" spans="1:11" x14ac:dyDescent="0.25">
      <c r="A17" s="70" t="s">
        <v>37</v>
      </c>
      <c r="B17" s="70" t="s">
        <v>184</v>
      </c>
      <c r="C17" s="71">
        <v>32.178420000000003</v>
      </c>
      <c r="D17" s="71">
        <v>-94.922685000000001</v>
      </c>
      <c r="E17" s="70" t="s">
        <v>325</v>
      </c>
      <c r="F17" s="86" t="str">
        <f t="shared" si="0"/>
        <v>https://maps.google.com/?q=32.17842,-94.922685</v>
      </c>
      <c r="G17" s="72">
        <v>3017</v>
      </c>
      <c r="H17" s="70" t="s">
        <v>13</v>
      </c>
      <c r="I17" s="70" t="s">
        <v>333</v>
      </c>
      <c r="J17" s="70" t="s">
        <v>334</v>
      </c>
      <c r="K17" s="70" t="s">
        <v>349</v>
      </c>
    </row>
    <row r="18" spans="1:11" x14ac:dyDescent="0.25">
      <c r="A18" s="70" t="s">
        <v>38</v>
      </c>
      <c r="B18" s="70" t="s">
        <v>185</v>
      </c>
      <c r="C18" s="71">
        <v>32.534709999999997</v>
      </c>
      <c r="D18" s="71">
        <v>-94.945120000000003</v>
      </c>
      <c r="E18" s="70" t="s">
        <v>325</v>
      </c>
      <c r="F18" s="86" t="str">
        <f t="shared" si="0"/>
        <v>https://maps.google.com/?q=32.53471,-94.94512</v>
      </c>
      <c r="G18" s="72">
        <v>1814</v>
      </c>
      <c r="H18" s="70" t="s">
        <v>13</v>
      </c>
      <c r="I18" s="70" t="s">
        <v>333</v>
      </c>
      <c r="J18" s="70" t="s">
        <v>334</v>
      </c>
      <c r="K18" s="70" t="s">
        <v>350</v>
      </c>
    </row>
    <row r="19" spans="1:11" x14ac:dyDescent="0.25">
      <c r="A19" s="70" t="s">
        <v>39</v>
      </c>
      <c r="B19" s="70" t="s">
        <v>186</v>
      </c>
      <c r="C19" s="71">
        <v>30.279986999999998</v>
      </c>
      <c r="D19" s="71">
        <v>-97.734723000000002</v>
      </c>
      <c r="E19" s="70" t="s">
        <v>325</v>
      </c>
      <c r="F19" s="86" t="str">
        <f t="shared" si="0"/>
        <v>https://maps.google.com/?q=30.279987,-97.734723</v>
      </c>
      <c r="G19" s="72">
        <v>145</v>
      </c>
      <c r="H19" s="70" t="s">
        <v>14</v>
      </c>
      <c r="I19" s="70" t="s">
        <v>333</v>
      </c>
      <c r="J19" s="70" t="s">
        <v>334</v>
      </c>
      <c r="K19" s="70" t="s">
        <v>351</v>
      </c>
    </row>
    <row r="20" spans="1:11" x14ac:dyDescent="0.25">
      <c r="A20" s="70" t="s">
        <v>40</v>
      </c>
      <c r="B20" s="70" t="s">
        <v>187</v>
      </c>
      <c r="C20" s="71">
        <v>33.3628</v>
      </c>
      <c r="D20" s="71">
        <v>-95.107410000000002</v>
      </c>
      <c r="E20" s="70" t="s">
        <v>325</v>
      </c>
      <c r="F20" s="86" t="str">
        <f t="shared" si="0"/>
        <v>https://maps.google.com/?q=33.3628,-95.10741</v>
      </c>
      <c r="G20" s="72">
        <v>246</v>
      </c>
      <c r="H20" s="70" t="s">
        <v>15</v>
      </c>
      <c r="I20" s="70" t="s">
        <v>333</v>
      </c>
      <c r="J20" s="70" t="s">
        <v>334</v>
      </c>
      <c r="K20" s="70" t="s">
        <v>352</v>
      </c>
    </row>
    <row r="21" spans="1:11" x14ac:dyDescent="0.25">
      <c r="A21" s="70" t="s">
        <v>41</v>
      </c>
      <c r="B21" s="70" t="s">
        <v>188</v>
      </c>
      <c r="C21" s="71">
        <v>29.170795999999999</v>
      </c>
      <c r="D21" s="71">
        <v>-95.670351999999994</v>
      </c>
      <c r="E21" s="70" t="s">
        <v>325</v>
      </c>
      <c r="F21" s="86" t="str">
        <f t="shared" si="0"/>
        <v>https://maps.google.com/?q=29.170796,-95.670352</v>
      </c>
      <c r="G21" s="72">
        <v>295</v>
      </c>
      <c r="H21" s="70" t="s">
        <v>13</v>
      </c>
      <c r="I21" s="70" t="s">
        <v>333</v>
      </c>
      <c r="J21" s="70" t="s">
        <v>335</v>
      </c>
      <c r="K21" s="70" t="s">
        <v>353</v>
      </c>
    </row>
    <row r="22" spans="1:11" x14ac:dyDescent="0.25">
      <c r="A22" s="70" t="s">
        <v>42</v>
      </c>
      <c r="B22" s="70" t="s">
        <v>189</v>
      </c>
      <c r="C22" s="71">
        <v>29.999548999999998</v>
      </c>
      <c r="D22" s="71">
        <v>-95.233866000000006</v>
      </c>
      <c r="E22" s="70" t="s">
        <v>325</v>
      </c>
      <c r="F22" s="86" t="str">
        <f t="shared" si="0"/>
        <v>https://maps.google.com/?q=29.999549,-95.233866</v>
      </c>
      <c r="G22" s="72">
        <v>265</v>
      </c>
      <c r="H22" s="70" t="s">
        <v>13</v>
      </c>
      <c r="I22" s="70" t="s">
        <v>333</v>
      </c>
      <c r="J22" s="70" t="s">
        <v>335</v>
      </c>
      <c r="K22" s="70" t="s">
        <v>354</v>
      </c>
    </row>
    <row r="23" spans="1:11" x14ac:dyDescent="0.25">
      <c r="A23" s="70" t="s">
        <v>43</v>
      </c>
      <c r="B23" s="70" t="s">
        <v>190</v>
      </c>
      <c r="C23" s="71">
        <v>29.734093999999999</v>
      </c>
      <c r="D23" s="71">
        <v>-94.970065000000005</v>
      </c>
      <c r="E23" s="70" t="s">
        <v>325</v>
      </c>
      <c r="F23" s="86" t="str">
        <f t="shared" si="0"/>
        <v>https://maps.google.com/?q=29.734094,-94.970065</v>
      </c>
      <c r="G23" s="72">
        <v>294</v>
      </c>
      <c r="H23" s="70" t="s">
        <v>15</v>
      </c>
      <c r="I23" s="70" t="s">
        <v>333</v>
      </c>
      <c r="J23" s="70" t="s">
        <v>335</v>
      </c>
      <c r="K23" s="70" t="s">
        <v>355</v>
      </c>
    </row>
    <row r="24" spans="1:11" x14ac:dyDescent="0.25">
      <c r="A24" s="70" t="s">
        <v>44</v>
      </c>
      <c r="B24" s="70" t="s">
        <v>191</v>
      </c>
      <c r="C24" s="71">
        <v>32.548009999999998</v>
      </c>
      <c r="D24" s="71">
        <v>-99.163780000000003</v>
      </c>
      <c r="E24" s="70" t="s">
        <v>325</v>
      </c>
      <c r="F24" s="86" t="str">
        <f t="shared" si="0"/>
        <v>https://maps.google.com/?q=32.54801,-99.16378</v>
      </c>
      <c r="G24" s="72">
        <v>1259</v>
      </c>
      <c r="H24" s="70" t="s">
        <v>13</v>
      </c>
      <c r="I24" s="70" t="s">
        <v>333</v>
      </c>
      <c r="J24" s="70" t="s">
        <v>336</v>
      </c>
      <c r="K24" s="70" t="s">
        <v>356</v>
      </c>
    </row>
    <row r="25" spans="1:11" x14ac:dyDescent="0.25">
      <c r="A25" s="70" t="s">
        <v>45</v>
      </c>
      <c r="B25" s="70" t="s">
        <v>192</v>
      </c>
      <c r="C25" s="71">
        <v>32.723039999999997</v>
      </c>
      <c r="D25" s="71">
        <v>-99.297150000000002</v>
      </c>
      <c r="E25" s="70" t="s">
        <v>325</v>
      </c>
      <c r="F25" s="86" t="str">
        <f t="shared" si="0"/>
        <v>https://maps.google.com/?q=32.72304,-99.29715</v>
      </c>
      <c r="G25" s="72">
        <v>813</v>
      </c>
      <c r="H25" s="70" t="s">
        <v>13</v>
      </c>
      <c r="I25" s="70" t="s">
        <v>333</v>
      </c>
      <c r="J25" s="70" t="s">
        <v>336</v>
      </c>
      <c r="K25" s="70" t="s">
        <v>357</v>
      </c>
    </row>
    <row r="26" spans="1:11" x14ac:dyDescent="0.25">
      <c r="A26" s="70" t="s">
        <v>46</v>
      </c>
      <c r="B26" s="70" t="s">
        <v>193</v>
      </c>
      <c r="C26" s="71">
        <v>32.450789999999998</v>
      </c>
      <c r="D26" s="71">
        <v>-98.692670000000007</v>
      </c>
      <c r="E26" s="70" t="s">
        <v>325</v>
      </c>
      <c r="F26" s="86" t="str">
        <f t="shared" si="0"/>
        <v>https://maps.google.com/?q=32.45079,-98.69267</v>
      </c>
      <c r="G26" s="72">
        <v>1939</v>
      </c>
      <c r="H26" s="70" t="s">
        <v>13</v>
      </c>
      <c r="I26" s="70" t="s">
        <v>333</v>
      </c>
      <c r="J26" s="70" t="s">
        <v>336</v>
      </c>
      <c r="K26" s="70" t="s">
        <v>358</v>
      </c>
    </row>
    <row r="27" spans="1:11" x14ac:dyDescent="0.25">
      <c r="A27" s="70" t="s">
        <v>47</v>
      </c>
      <c r="B27" s="70" t="s">
        <v>194</v>
      </c>
      <c r="C27" s="71">
        <v>33.987867000000001</v>
      </c>
      <c r="D27" s="71">
        <v>-98.221357999999995</v>
      </c>
      <c r="E27" s="70" t="s">
        <v>325</v>
      </c>
      <c r="F27" s="86" t="str">
        <f t="shared" si="0"/>
        <v>https://maps.google.com/?q=33.987867,-98.221358</v>
      </c>
      <c r="G27" s="72">
        <v>1824</v>
      </c>
      <c r="H27" s="70" t="s">
        <v>13</v>
      </c>
      <c r="I27" s="70" t="s">
        <v>333</v>
      </c>
      <c r="J27" s="70" t="s">
        <v>336</v>
      </c>
      <c r="K27" s="70" t="s">
        <v>359</v>
      </c>
    </row>
    <row r="28" spans="1:11" x14ac:dyDescent="0.25">
      <c r="A28" s="70" t="s">
        <v>48</v>
      </c>
      <c r="B28" s="70" t="s">
        <v>195</v>
      </c>
      <c r="C28" s="71">
        <v>33.595176000000002</v>
      </c>
      <c r="D28" s="71">
        <v>-98.625553999999994</v>
      </c>
      <c r="E28" s="70" t="s">
        <v>325</v>
      </c>
      <c r="F28" s="86" t="str">
        <f t="shared" si="0"/>
        <v>https://maps.google.com/?q=33.595176,-98.625554</v>
      </c>
      <c r="G28" s="72">
        <v>154</v>
      </c>
      <c r="H28" s="70" t="s">
        <v>13</v>
      </c>
      <c r="I28" s="70" t="s">
        <v>333</v>
      </c>
      <c r="J28" s="70" t="s">
        <v>336</v>
      </c>
      <c r="K28" s="70" t="s">
        <v>360</v>
      </c>
    </row>
    <row r="29" spans="1:11" x14ac:dyDescent="0.25">
      <c r="A29" s="70" t="s">
        <v>49</v>
      </c>
      <c r="B29" s="70" t="s">
        <v>196</v>
      </c>
      <c r="C29" s="71">
        <v>32.707261000000003</v>
      </c>
      <c r="D29" s="71">
        <v>-99.524603999999997</v>
      </c>
      <c r="E29" s="70" t="s">
        <v>326</v>
      </c>
      <c r="F29" s="86" t="str">
        <f t="shared" si="0"/>
        <v>https://maps.google.com/?q=32.707261,-99.524604</v>
      </c>
      <c r="G29" s="72">
        <v>3724</v>
      </c>
      <c r="H29" s="70" t="s">
        <v>14</v>
      </c>
      <c r="I29" s="70" t="s">
        <v>333</v>
      </c>
      <c r="J29" s="70" t="s">
        <v>336</v>
      </c>
      <c r="K29" s="70" t="s">
        <v>361</v>
      </c>
    </row>
    <row r="30" spans="1:11" x14ac:dyDescent="0.25">
      <c r="A30" s="70" t="s">
        <v>50</v>
      </c>
      <c r="B30" s="70" t="s">
        <v>197</v>
      </c>
      <c r="C30" s="71">
        <v>32.717604999999999</v>
      </c>
      <c r="D30" s="71">
        <v>-99.301117000000005</v>
      </c>
      <c r="E30" s="70" t="s">
        <v>325</v>
      </c>
      <c r="F30" s="86" t="str">
        <f t="shared" si="0"/>
        <v>https://maps.google.com/?q=32.717605,-99.301117</v>
      </c>
      <c r="G30" s="72">
        <v>121</v>
      </c>
      <c r="H30" s="70" t="s">
        <v>14</v>
      </c>
      <c r="I30" s="70" t="s">
        <v>333</v>
      </c>
      <c r="J30" s="70" t="s">
        <v>336</v>
      </c>
      <c r="K30" s="70" t="s">
        <v>362</v>
      </c>
    </row>
    <row r="31" spans="1:11" x14ac:dyDescent="0.25">
      <c r="A31" s="70" t="s">
        <v>51</v>
      </c>
      <c r="B31" s="70" t="s">
        <v>198</v>
      </c>
      <c r="C31" s="71">
        <v>34.103990000000003</v>
      </c>
      <c r="D31" s="71">
        <v>-98.563500000000005</v>
      </c>
      <c r="E31" s="70" t="s">
        <v>325</v>
      </c>
      <c r="F31" s="86" t="str">
        <f t="shared" si="0"/>
        <v>https://maps.google.com/?q=34.10399,-98.5635</v>
      </c>
      <c r="G31" s="72">
        <v>196</v>
      </c>
      <c r="H31" s="70" t="s">
        <v>14</v>
      </c>
      <c r="I31" s="70" t="s">
        <v>333</v>
      </c>
      <c r="J31" s="70" t="s">
        <v>336</v>
      </c>
      <c r="K31" s="70" t="s">
        <v>363</v>
      </c>
    </row>
    <row r="32" spans="1:11" x14ac:dyDescent="0.25">
      <c r="A32" s="70" t="s">
        <v>52</v>
      </c>
      <c r="B32" s="70" t="s">
        <v>199</v>
      </c>
      <c r="C32" s="71">
        <v>33.78566</v>
      </c>
      <c r="D32" s="71">
        <v>-97.708219999999997</v>
      </c>
      <c r="E32" s="70" t="s">
        <v>327</v>
      </c>
      <c r="F32" s="86" t="str">
        <f t="shared" si="0"/>
        <v>https://maps.google.com/?q=33.78566,-97.70822</v>
      </c>
      <c r="G32" s="72">
        <v>28</v>
      </c>
      <c r="H32" s="70" t="s">
        <v>14</v>
      </c>
      <c r="I32" s="70" t="s">
        <v>333</v>
      </c>
      <c r="J32" s="70" t="s">
        <v>336</v>
      </c>
      <c r="K32" s="70" t="s">
        <v>364</v>
      </c>
    </row>
    <row r="33" spans="1:11" x14ac:dyDescent="0.25">
      <c r="A33" s="70" t="s">
        <v>53</v>
      </c>
      <c r="B33" s="70" t="s">
        <v>200</v>
      </c>
      <c r="C33" s="71">
        <v>35.602960000000003</v>
      </c>
      <c r="D33" s="71">
        <v>-101.40602</v>
      </c>
      <c r="E33" s="70" t="s">
        <v>325</v>
      </c>
      <c r="F33" s="86" t="str">
        <f t="shared" si="0"/>
        <v>https://maps.google.com/?q=35.60296,-101.40602</v>
      </c>
      <c r="G33" s="72">
        <v>2715</v>
      </c>
      <c r="H33" s="70" t="s">
        <v>13</v>
      </c>
      <c r="I33" s="70" t="s">
        <v>333</v>
      </c>
      <c r="J33" s="70" t="s">
        <v>337</v>
      </c>
      <c r="K33" s="70" t="s">
        <v>365</v>
      </c>
    </row>
    <row r="34" spans="1:11" x14ac:dyDescent="0.25">
      <c r="A34" s="70" t="s">
        <v>54</v>
      </c>
      <c r="B34" s="70" t="s">
        <v>201</v>
      </c>
      <c r="C34" s="71">
        <v>35.791939999999997</v>
      </c>
      <c r="D34" s="71">
        <v>-101.43077</v>
      </c>
      <c r="E34" s="70" t="s">
        <v>325</v>
      </c>
      <c r="F34" s="86" t="str">
        <f t="shared" si="0"/>
        <v>https://maps.google.com/?q=35.79194,-101.43077</v>
      </c>
      <c r="G34" s="72">
        <v>420</v>
      </c>
      <c r="H34" s="70" t="s">
        <v>13</v>
      </c>
      <c r="I34" s="70" t="s">
        <v>333</v>
      </c>
      <c r="J34" s="70" t="s">
        <v>337</v>
      </c>
      <c r="K34" s="70" t="s">
        <v>366</v>
      </c>
    </row>
    <row r="35" spans="1:11" x14ac:dyDescent="0.25">
      <c r="A35" s="70" t="s">
        <v>55</v>
      </c>
      <c r="B35" s="70" t="s">
        <v>202</v>
      </c>
      <c r="C35" s="71">
        <v>33.588683000000003</v>
      </c>
      <c r="D35" s="71">
        <v>-101.88478600000001</v>
      </c>
      <c r="E35" s="70" t="s">
        <v>327</v>
      </c>
      <c r="F35" s="86" t="str">
        <f t="shared" si="0"/>
        <v>https://maps.google.com/?q=33.588683,-101.884786</v>
      </c>
      <c r="G35" s="72">
        <v>321</v>
      </c>
      <c r="H35" s="70" t="s">
        <v>14</v>
      </c>
      <c r="I35" s="70" t="s">
        <v>333</v>
      </c>
      <c r="J35" s="70" t="s">
        <v>337</v>
      </c>
      <c r="K35" s="70" t="s">
        <v>367</v>
      </c>
    </row>
    <row r="36" spans="1:11" x14ac:dyDescent="0.25">
      <c r="A36" s="70" t="s">
        <v>56</v>
      </c>
      <c r="B36" s="70" t="s">
        <v>203</v>
      </c>
      <c r="C36" s="71">
        <v>32.333705000000002</v>
      </c>
      <c r="D36" s="71">
        <v>-102.657965</v>
      </c>
      <c r="E36" s="70" t="s">
        <v>325</v>
      </c>
      <c r="F36" s="86" t="str">
        <f t="shared" si="0"/>
        <v>https://maps.google.com/?q=32.333705,-102.657965</v>
      </c>
      <c r="G36" s="72">
        <v>347</v>
      </c>
      <c r="H36" s="70" t="s">
        <v>13</v>
      </c>
      <c r="I36" s="70" t="s">
        <v>333</v>
      </c>
      <c r="J36" s="70" t="s">
        <v>338</v>
      </c>
      <c r="K36" s="70" t="s">
        <v>368</v>
      </c>
    </row>
    <row r="37" spans="1:11" x14ac:dyDescent="0.25">
      <c r="A37" s="70" t="s">
        <v>57</v>
      </c>
      <c r="B37" s="70" t="s">
        <v>204</v>
      </c>
      <c r="C37" s="71">
        <v>30.911280000000001</v>
      </c>
      <c r="D37" s="71">
        <v>-101.44647000000001</v>
      </c>
      <c r="E37" s="70" t="s">
        <v>325</v>
      </c>
      <c r="F37" s="86" t="str">
        <f t="shared" si="0"/>
        <v>https://maps.google.com/?q=30.91128,-101.44647</v>
      </c>
      <c r="G37" s="72">
        <v>273</v>
      </c>
      <c r="H37" s="70" t="s">
        <v>13</v>
      </c>
      <c r="I37" s="70" t="s">
        <v>333</v>
      </c>
      <c r="J37" s="70" t="s">
        <v>338</v>
      </c>
      <c r="K37" s="70" t="s">
        <v>369</v>
      </c>
    </row>
    <row r="38" spans="1:11" x14ac:dyDescent="0.25">
      <c r="A38" s="70" t="s">
        <v>58</v>
      </c>
      <c r="B38" s="70" t="s">
        <v>205</v>
      </c>
      <c r="C38" s="71">
        <v>33.049346999999997</v>
      </c>
      <c r="D38" s="71">
        <v>-102.81853</v>
      </c>
      <c r="E38" s="70" t="s">
        <v>325</v>
      </c>
      <c r="F38" s="86" t="str">
        <f t="shared" si="0"/>
        <v>https://maps.google.com/?q=33.049347,-102.81853</v>
      </c>
      <c r="G38" s="72">
        <v>1790</v>
      </c>
      <c r="H38" s="70" t="s">
        <v>13</v>
      </c>
      <c r="I38" s="70" t="s">
        <v>333</v>
      </c>
      <c r="J38" s="70" t="s">
        <v>338</v>
      </c>
      <c r="K38" s="70" t="s">
        <v>370</v>
      </c>
    </row>
    <row r="39" spans="1:11" x14ac:dyDescent="0.25">
      <c r="A39" s="70" t="s">
        <v>59</v>
      </c>
      <c r="B39" s="70" t="s">
        <v>206</v>
      </c>
      <c r="C39" s="71">
        <v>32.343020000000003</v>
      </c>
      <c r="D39" s="71">
        <v>-101.06291</v>
      </c>
      <c r="E39" s="70" t="s">
        <v>325</v>
      </c>
      <c r="F39" s="86" t="str">
        <f t="shared" si="0"/>
        <v>https://maps.google.com/?q=32.34302,-101.06291</v>
      </c>
      <c r="G39" s="72">
        <v>231</v>
      </c>
      <c r="H39" s="70" t="s">
        <v>13</v>
      </c>
      <c r="I39" s="70" t="s">
        <v>333</v>
      </c>
      <c r="J39" s="70" t="s">
        <v>338</v>
      </c>
      <c r="K39" s="70" t="s">
        <v>371</v>
      </c>
    </row>
    <row r="40" spans="1:11" x14ac:dyDescent="0.25">
      <c r="A40" s="70" t="s">
        <v>60</v>
      </c>
      <c r="B40" s="70" t="s">
        <v>207</v>
      </c>
      <c r="C40" s="71">
        <v>32.085850000000001</v>
      </c>
      <c r="D40" s="71">
        <v>-101.39187</v>
      </c>
      <c r="E40" s="70" t="s">
        <v>325</v>
      </c>
      <c r="F40" s="86" t="str">
        <f t="shared" si="0"/>
        <v>https://maps.google.com/?q=32.08585,-101.39187</v>
      </c>
      <c r="G40" s="72">
        <v>252</v>
      </c>
      <c r="H40" s="70" t="s">
        <v>13</v>
      </c>
      <c r="I40" s="70" t="s">
        <v>333</v>
      </c>
      <c r="J40" s="70" t="s">
        <v>338</v>
      </c>
      <c r="K40" s="70" t="s">
        <v>372</v>
      </c>
    </row>
    <row r="41" spans="1:11" x14ac:dyDescent="0.25">
      <c r="A41" s="70" t="s">
        <v>61</v>
      </c>
      <c r="B41" s="70" t="s">
        <v>208</v>
      </c>
      <c r="C41" s="71">
        <v>31.153220000000001</v>
      </c>
      <c r="D41" s="71">
        <v>-102.06504</v>
      </c>
      <c r="E41" s="70" t="s">
        <v>325</v>
      </c>
      <c r="F41" s="86" t="str">
        <f t="shared" si="0"/>
        <v>https://maps.google.com/?q=31.15322,-102.06504</v>
      </c>
      <c r="G41" s="72">
        <v>310</v>
      </c>
      <c r="H41" s="70" t="s">
        <v>13</v>
      </c>
      <c r="I41" s="70" t="s">
        <v>333</v>
      </c>
      <c r="J41" s="70" t="s">
        <v>338</v>
      </c>
      <c r="K41" s="70" t="s">
        <v>373</v>
      </c>
    </row>
    <row r="42" spans="1:11" x14ac:dyDescent="0.25">
      <c r="A42" s="70" t="s">
        <v>62</v>
      </c>
      <c r="B42" s="70" t="s">
        <v>209</v>
      </c>
      <c r="C42" s="71">
        <v>31.225079999999998</v>
      </c>
      <c r="D42" s="71">
        <v>-101.69253999999999</v>
      </c>
      <c r="E42" s="70" t="s">
        <v>325</v>
      </c>
      <c r="F42" s="86" t="str">
        <f t="shared" si="0"/>
        <v>https://maps.google.com/?q=31.22508,-101.69254</v>
      </c>
      <c r="G42" s="72">
        <v>2042</v>
      </c>
      <c r="H42" s="70" t="s">
        <v>13</v>
      </c>
      <c r="I42" s="70" t="s">
        <v>333</v>
      </c>
      <c r="J42" s="70" t="s">
        <v>338</v>
      </c>
      <c r="K42" s="70" t="s">
        <v>374</v>
      </c>
    </row>
    <row r="43" spans="1:11" x14ac:dyDescent="0.25">
      <c r="A43" s="70" t="s">
        <v>63</v>
      </c>
      <c r="B43" s="70" t="s">
        <v>210</v>
      </c>
      <c r="C43" s="71">
        <v>31.283639999999998</v>
      </c>
      <c r="D43" s="71">
        <v>-102.0454</v>
      </c>
      <c r="E43" s="70" t="s">
        <v>325</v>
      </c>
      <c r="F43" s="86" t="str">
        <f t="shared" si="0"/>
        <v>https://maps.google.com/?q=31.28364,-102.0454</v>
      </c>
      <c r="G43" s="72">
        <v>306</v>
      </c>
      <c r="H43" s="70" t="s">
        <v>13</v>
      </c>
      <c r="I43" s="70" t="s">
        <v>333</v>
      </c>
      <c r="J43" s="70" t="s">
        <v>338</v>
      </c>
      <c r="K43" s="70" t="s">
        <v>375</v>
      </c>
    </row>
    <row r="44" spans="1:11" x14ac:dyDescent="0.25">
      <c r="A44" s="70" t="s">
        <v>64</v>
      </c>
      <c r="B44" s="70" t="s">
        <v>211</v>
      </c>
      <c r="C44" s="71">
        <v>31.756046999999999</v>
      </c>
      <c r="D44" s="71">
        <v>-103.15655700000001</v>
      </c>
      <c r="E44" s="70" t="s">
        <v>325</v>
      </c>
      <c r="F44" s="86" t="str">
        <f t="shared" si="0"/>
        <v>https://maps.google.com/?q=31.756047,-103.156557</v>
      </c>
      <c r="G44" s="72">
        <v>383</v>
      </c>
      <c r="H44" s="70" t="s">
        <v>13</v>
      </c>
      <c r="I44" s="70" t="s">
        <v>333</v>
      </c>
      <c r="J44" s="70" t="s">
        <v>338</v>
      </c>
      <c r="K44" s="70" t="s">
        <v>376</v>
      </c>
    </row>
    <row r="45" spans="1:11" x14ac:dyDescent="0.25">
      <c r="A45" s="70" t="s">
        <v>65</v>
      </c>
      <c r="B45" s="70" t="s">
        <v>212</v>
      </c>
      <c r="C45" s="71">
        <v>31.503322000000001</v>
      </c>
      <c r="D45" s="71">
        <v>-102.357607</v>
      </c>
      <c r="E45" s="70" t="s">
        <v>325</v>
      </c>
      <c r="F45" s="86" t="str">
        <f t="shared" si="0"/>
        <v>https://maps.google.com/?q=31.503322,-102.357607</v>
      </c>
      <c r="G45" s="72">
        <v>326</v>
      </c>
      <c r="H45" s="70" t="s">
        <v>13</v>
      </c>
      <c r="I45" s="70" t="s">
        <v>333</v>
      </c>
      <c r="J45" s="70" t="s">
        <v>338</v>
      </c>
      <c r="K45" s="70" t="s">
        <v>377</v>
      </c>
    </row>
    <row r="46" spans="1:11" x14ac:dyDescent="0.25">
      <c r="A46" s="70" t="s">
        <v>66</v>
      </c>
      <c r="B46" s="70" t="s">
        <v>213</v>
      </c>
      <c r="C46" s="71">
        <v>32.070742000000003</v>
      </c>
      <c r="D46" s="71">
        <v>-100.664539</v>
      </c>
      <c r="E46" s="70" t="s">
        <v>325</v>
      </c>
      <c r="F46" s="86" t="str">
        <f t="shared" si="0"/>
        <v>https://maps.google.com/?q=32.070742,-100.664539</v>
      </c>
      <c r="G46" s="72">
        <v>199</v>
      </c>
      <c r="H46" s="70" t="s">
        <v>13</v>
      </c>
      <c r="I46" s="70" t="s">
        <v>333</v>
      </c>
      <c r="J46" s="70" t="s">
        <v>338</v>
      </c>
      <c r="K46" s="70" t="s">
        <v>378</v>
      </c>
    </row>
    <row r="47" spans="1:11" x14ac:dyDescent="0.25">
      <c r="A47" s="70" t="s">
        <v>67</v>
      </c>
      <c r="B47" s="70" t="s">
        <v>214</v>
      </c>
      <c r="C47" s="71">
        <v>31.720738999999998</v>
      </c>
      <c r="D47" s="71">
        <v>-102.626065</v>
      </c>
      <c r="E47" s="70" t="s">
        <v>325</v>
      </c>
      <c r="F47" s="86" t="str">
        <f t="shared" si="0"/>
        <v>https://maps.google.com/?q=31.720739,-102.626065</v>
      </c>
      <c r="G47" s="72">
        <v>345</v>
      </c>
      <c r="H47" s="70" t="s">
        <v>13</v>
      </c>
      <c r="I47" s="70" t="s">
        <v>333</v>
      </c>
      <c r="J47" s="70" t="s">
        <v>338</v>
      </c>
      <c r="K47" s="70" t="s">
        <v>353</v>
      </c>
    </row>
    <row r="48" spans="1:11" x14ac:dyDescent="0.25">
      <c r="A48" s="70" t="s">
        <v>68</v>
      </c>
      <c r="B48" s="70" t="s">
        <v>215</v>
      </c>
      <c r="C48" s="71">
        <v>31.971934000000001</v>
      </c>
      <c r="D48" s="71">
        <v>-102.08625499999999</v>
      </c>
      <c r="E48" s="70" t="s">
        <v>325</v>
      </c>
      <c r="F48" s="86" t="str">
        <f t="shared" si="0"/>
        <v>https://maps.google.com/?q=31.971934,-102.086255</v>
      </c>
      <c r="G48" s="72">
        <v>304</v>
      </c>
      <c r="H48" s="70" t="s">
        <v>14</v>
      </c>
      <c r="I48" s="70" t="s">
        <v>333</v>
      </c>
      <c r="J48" s="70" t="s">
        <v>338</v>
      </c>
      <c r="K48" s="70" t="s">
        <v>379</v>
      </c>
    </row>
    <row r="49" spans="1:11" x14ac:dyDescent="0.25">
      <c r="A49" s="70" t="s">
        <v>69</v>
      </c>
      <c r="B49" s="70" t="s">
        <v>216</v>
      </c>
      <c r="C49" s="71">
        <v>30.263238999999999</v>
      </c>
      <c r="D49" s="71">
        <v>-94.607778999999994</v>
      </c>
      <c r="E49" s="70" t="s">
        <v>325</v>
      </c>
      <c r="F49" s="86" t="str">
        <f t="shared" si="0"/>
        <v>https://maps.google.com/?q=30.263239,-94.607779</v>
      </c>
      <c r="G49" s="72">
        <v>843</v>
      </c>
      <c r="H49" s="70" t="s">
        <v>13</v>
      </c>
      <c r="I49" s="70" t="s">
        <v>333</v>
      </c>
      <c r="J49" s="70" t="s">
        <v>339</v>
      </c>
      <c r="K49" s="70" t="s">
        <v>380</v>
      </c>
    </row>
    <row r="50" spans="1:11" x14ac:dyDescent="0.25">
      <c r="A50" s="70" t="s">
        <v>70</v>
      </c>
      <c r="B50" s="70" t="s">
        <v>217</v>
      </c>
      <c r="C50" s="71">
        <v>29.681287000000001</v>
      </c>
      <c r="D50" s="71">
        <v>-97.650272000000001</v>
      </c>
      <c r="E50" s="70" t="s">
        <v>325</v>
      </c>
      <c r="F50" s="86" t="str">
        <f t="shared" si="0"/>
        <v>https://maps.google.com/?q=29.681287,-97.650272</v>
      </c>
      <c r="G50" s="72">
        <v>950</v>
      </c>
      <c r="H50" s="70" t="s">
        <v>13</v>
      </c>
      <c r="I50" s="70" t="s">
        <v>333</v>
      </c>
      <c r="J50" s="70" t="s">
        <v>340</v>
      </c>
      <c r="K50" s="70" t="s">
        <v>381</v>
      </c>
    </row>
    <row r="51" spans="1:11" x14ac:dyDescent="0.25">
      <c r="A51" s="70" t="s">
        <v>71</v>
      </c>
      <c r="B51" s="70" t="s">
        <v>218</v>
      </c>
      <c r="C51" s="71">
        <v>28.291519999999998</v>
      </c>
      <c r="D51" s="71">
        <v>-97.278104999999996</v>
      </c>
      <c r="E51" s="70" t="s">
        <v>325</v>
      </c>
      <c r="F51" s="86" t="str">
        <f t="shared" si="0"/>
        <v>https://maps.google.com/?q=28.29152,-97.278105</v>
      </c>
      <c r="G51" s="72">
        <v>2834</v>
      </c>
      <c r="H51" s="70" t="s">
        <v>13</v>
      </c>
      <c r="I51" s="70" t="s">
        <v>333</v>
      </c>
      <c r="J51" s="70" t="s">
        <v>340</v>
      </c>
      <c r="K51" s="70" t="s">
        <v>382</v>
      </c>
    </row>
    <row r="52" spans="1:11" x14ac:dyDescent="0.25">
      <c r="A52" s="70" t="s">
        <v>72</v>
      </c>
      <c r="B52" s="70" t="s">
        <v>219</v>
      </c>
      <c r="C52" s="71">
        <v>27.443923999999999</v>
      </c>
      <c r="D52" s="71">
        <v>-99.000998999999993</v>
      </c>
      <c r="E52" s="70" t="s">
        <v>325</v>
      </c>
      <c r="F52" s="86" t="str">
        <f t="shared" si="0"/>
        <v>https://maps.google.com/?q=27.443924,-99.000999</v>
      </c>
      <c r="G52" s="72">
        <v>2222</v>
      </c>
      <c r="H52" s="70" t="s">
        <v>14</v>
      </c>
      <c r="I52" s="70" t="s">
        <v>333</v>
      </c>
      <c r="J52" s="70" t="s">
        <v>340</v>
      </c>
      <c r="K52" s="70" t="s">
        <v>383</v>
      </c>
    </row>
    <row r="53" spans="1:11" x14ac:dyDescent="0.25">
      <c r="A53" s="70" t="s">
        <v>73</v>
      </c>
      <c r="B53" s="70" t="s">
        <v>220</v>
      </c>
      <c r="C53" s="71">
        <v>30.012944000000001</v>
      </c>
      <c r="D53" s="71">
        <v>-94.076200999999998</v>
      </c>
      <c r="E53" s="70" t="s">
        <v>325</v>
      </c>
      <c r="F53" s="86" t="str">
        <f t="shared" si="0"/>
        <v>https://maps.google.com/?q=30.012944,-94.076201</v>
      </c>
      <c r="G53" s="72">
        <v>2849</v>
      </c>
      <c r="H53" s="70" t="s">
        <v>13</v>
      </c>
      <c r="I53" s="70" t="s">
        <v>333</v>
      </c>
      <c r="J53" s="70" t="s">
        <v>341</v>
      </c>
      <c r="K53" s="70" t="s">
        <v>384</v>
      </c>
    </row>
    <row r="54" spans="1:11" x14ac:dyDescent="0.25">
      <c r="A54" s="70" t="s">
        <v>74</v>
      </c>
      <c r="B54" s="70" t="s">
        <v>221</v>
      </c>
      <c r="C54" s="71">
        <v>30.077226</v>
      </c>
      <c r="D54" s="71">
        <v>-93.860131999999993</v>
      </c>
      <c r="E54" s="70" t="s">
        <v>325</v>
      </c>
      <c r="F54" s="86" t="str">
        <f t="shared" si="0"/>
        <v>https://maps.google.com/?q=30.077226,-93.860132</v>
      </c>
      <c r="G54" s="72">
        <v>1060</v>
      </c>
      <c r="H54" s="70" t="s">
        <v>13</v>
      </c>
      <c r="I54" s="70" t="s">
        <v>333</v>
      </c>
      <c r="J54" s="70" t="s">
        <v>341</v>
      </c>
      <c r="K54" s="70" t="s">
        <v>385</v>
      </c>
    </row>
    <row r="55" spans="1:11" x14ac:dyDescent="0.25">
      <c r="A55" s="70" t="s">
        <v>75</v>
      </c>
      <c r="B55" s="70" t="s">
        <v>222</v>
      </c>
      <c r="C55" s="71">
        <v>30.328250000000001</v>
      </c>
      <c r="D55" s="71">
        <v>-97.749830000000003</v>
      </c>
      <c r="E55" s="70" t="s">
        <v>328</v>
      </c>
      <c r="F55" s="86" t="str">
        <f t="shared" si="0"/>
        <v>https://maps.google.com/?q=30.32825,-97.74983</v>
      </c>
      <c r="G55" s="72">
        <v>945</v>
      </c>
      <c r="H55" s="70" t="s">
        <v>16</v>
      </c>
      <c r="I55" s="70" t="s">
        <v>342</v>
      </c>
      <c r="J55" s="70" t="s">
        <v>334</v>
      </c>
      <c r="K55" s="70" t="s">
        <v>386</v>
      </c>
    </row>
    <row r="56" spans="1:11" x14ac:dyDescent="0.25">
      <c r="A56" s="70" t="s">
        <v>76</v>
      </c>
      <c r="B56" s="70" t="s">
        <v>223</v>
      </c>
      <c r="C56" s="71">
        <v>32.153356000000002</v>
      </c>
      <c r="D56" s="71">
        <v>-94.799397999999997</v>
      </c>
      <c r="E56" s="70" t="s">
        <v>325</v>
      </c>
      <c r="F56" s="86" t="str">
        <f t="shared" si="0"/>
        <v>https://maps.google.com/?q=32.153356,-94.799398</v>
      </c>
      <c r="G56" s="72">
        <v>745</v>
      </c>
      <c r="H56" s="70" t="s">
        <v>16</v>
      </c>
      <c r="I56" s="70" t="s">
        <v>342</v>
      </c>
      <c r="J56" s="70" t="s">
        <v>334</v>
      </c>
      <c r="K56" s="70" t="s">
        <v>387</v>
      </c>
    </row>
    <row r="57" spans="1:11" x14ac:dyDescent="0.25">
      <c r="A57" s="70" t="s">
        <v>77</v>
      </c>
      <c r="B57" s="70" t="s">
        <v>224</v>
      </c>
      <c r="C57" s="71">
        <v>31.674810000000001</v>
      </c>
      <c r="D57" s="71">
        <v>-96.481970000000004</v>
      </c>
      <c r="E57" s="70" t="s">
        <v>325</v>
      </c>
      <c r="F57" s="86" t="str">
        <f t="shared" si="0"/>
        <v>https://maps.google.com/?q=31.67481,-96.48197</v>
      </c>
      <c r="G57" s="72">
        <v>1117</v>
      </c>
      <c r="H57" s="70" t="s">
        <v>16</v>
      </c>
      <c r="I57" s="70" t="s">
        <v>342</v>
      </c>
      <c r="J57" s="70" t="s">
        <v>334</v>
      </c>
      <c r="K57" s="70" t="s">
        <v>388</v>
      </c>
    </row>
    <row r="58" spans="1:11" x14ac:dyDescent="0.25">
      <c r="A58" s="70" t="s">
        <v>78</v>
      </c>
      <c r="B58" s="70" t="s">
        <v>225</v>
      </c>
      <c r="C58" s="71">
        <v>31.691867999999999</v>
      </c>
      <c r="D58" s="71">
        <v>-96.479651000000004</v>
      </c>
      <c r="E58" s="70" t="s">
        <v>329</v>
      </c>
      <c r="F58" s="86" t="str">
        <f t="shared" si="0"/>
        <v>https://maps.google.com/?q=31.691868,-96.479651</v>
      </c>
      <c r="G58" s="72">
        <v>1160</v>
      </c>
      <c r="H58" s="70" t="s">
        <v>16</v>
      </c>
      <c r="I58" s="70" t="s">
        <v>342</v>
      </c>
      <c r="J58" s="70" t="s">
        <v>334</v>
      </c>
      <c r="K58" s="70" t="s">
        <v>389</v>
      </c>
    </row>
    <row r="59" spans="1:11" x14ac:dyDescent="0.25">
      <c r="A59" s="70" t="s">
        <v>79</v>
      </c>
      <c r="B59" s="70" t="s">
        <v>226</v>
      </c>
      <c r="C59" s="71">
        <v>31.565629999999999</v>
      </c>
      <c r="D59" s="71">
        <v>-94.481949999999998</v>
      </c>
      <c r="E59" s="70" t="s">
        <v>329</v>
      </c>
      <c r="F59" s="86" t="str">
        <f t="shared" si="0"/>
        <v>https://maps.google.com/?q=31.56563,-94.48195</v>
      </c>
      <c r="G59" s="72">
        <v>271</v>
      </c>
      <c r="H59" s="70" t="s">
        <v>16</v>
      </c>
      <c r="I59" s="70" t="s">
        <v>342</v>
      </c>
      <c r="J59" s="70" t="s">
        <v>334</v>
      </c>
      <c r="K59" s="70" t="s">
        <v>390</v>
      </c>
    </row>
    <row r="60" spans="1:11" x14ac:dyDescent="0.25">
      <c r="A60" s="70" t="s">
        <v>80</v>
      </c>
      <c r="B60" s="70" t="s">
        <v>227</v>
      </c>
      <c r="C60" s="71">
        <v>32.867862000000002</v>
      </c>
      <c r="D60" s="71">
        <v>-96.781346999999997</v>
      </c>
      <c r="E60" s="70" t="s">
        <v>325</v>
      </c>
      <c r="F60" s="86" t="str">
        <f t="shared" si="0"/>
        <v>https://maps.google.com/?q=32.867862,-96.781347</v>
      </c>
      <c r="G60" s="72">
        <v>3258</v>
      </c>
      <c r="H60" s="70" t="s">
        <v>16</v>
      </c>
      <c r="I60" s="70" t="s">
        <v>342</v>
      </c>
      <c r="J60" s="70" t="s">
        <v>334</v>
      </c>
      <c r="K60" s="70" t="s">
        <v>391</v>
      </c>
    </row>
    <row r="61" spans="1:11" x14ac:dyDescent="0.25">
      <c r="A61" s="70" t="s">
        <v>81</v>
      </c>
      <c r="B61" s="70" t="s">
        <v>228</v>
      </c>
      <c r="C61" s="71">
        <v>31.633389999999999</v>
      </c>
      <c r="D61" s="71">
        <v>-96.557559999999995</v>
      </c>
      <c r="E61" s="70" t="s">
        <v>325</v>
      </c>
      <c r="F61" s="86" t="str">
        <f t="shared" si="0"/>
        <v>https://maps.google.com/?q=31.63339,-96.55756</v>
      </c>
      <c r="G61" s="72">
        <v>1635</v>
      </c>
      <c r="H61" s="70" t="s">
        <v>16</v>
      </c>
      <c r="I61" s="70" t="s">
        <v>342</v>
      </c>
      <c r="J61" s="70" t="s">
        <v>334</v>
      </c>
      <c r="K61" s="70" t="s">
        <v>392</v>
      </c>
    </row>
    <row r="62" spans="1:11" x14ac:dyDescent="0.25">
      <c r="A62" s="70" t="s">
        <v>82</v>
      </c>
      <c r="B62" s="70" t="s">
        <v>229</v>
      </c>
      <c r="C62" s="71">
        <v>32.091780999999997</v>
      </c>
      <c r="D62" s="71">
        <v>-96.476635999999999</v>
      </c>
      <c r="E62" s="70" t="s">
        <v>325</v>
      </c>
      <c r="F62" s="86" t="str">
        <f t="shared" si="0"/>
        <v>https://maps.google.com/?q=32.091781,-96.476636</v>
      </c>
      <c r="G62" s="72">
        <v>378</v>
      </c>
      <c r="H62" s="70" t="s">
        <v>16</v>
      </c>
      <c r="I62" s="70" t="s">
        <v>342</v>
      </c>
      <c r="J62" s="70" t="s">
        <v>334</v>
      </c>
      <c r="K62" s="70" t="s">
        <v>393</v>
      </c>
    </row>
    <row r="63" spans="1:11" x14ac:dyDescent="0.25">
      <c r="A63" s="70" t="s">
        <v>83</v>
      </c>
      <c r="B63" s="70" t="s">
        <v>230</v>
      </c>
      <c r="C63" s="71">
        <v>32.203420000000001</v>
      </c>
      <c r="D63" s="71">
        <v>-95.854789999999994</v>
      </c>
      <c r="E63" s="70" t="s">
        <v>325</v>
      </c>
      <c r="F63" s="86" t="str">
        <f t="shared" si="0"/>
        <v>https://maps.google.com/?q=32.20342,-95.85479</v>
      </c>
      <c r="G63" s="72">
        <v>166</v>
      </c>
      <c r="H63" s="70" t="s">
        <v>16</v>
      </c>
      <c r="I63" s="70" t="s">
        <v>342</v>
      </c>
      <c r="J63" s="70" t="s">
        <v>334</v>
      </c>
      <c r="K63" s="70" t="s">
        <v>394</v>
      </c>
    </row>
    <row r="64" spans="1:11" x14ac:dyDescent="0.25">
      <c r="A64" s="70" t="s">
        <v>84</v>
      </c>
      <c r="B64" s="70" t="s">
        <v>231</v>
      </c>
      <c r="C64" s="71">
        <v>32.388342999999999</v>
      </c>
      <c r="D64" s="71">
        <v>-94.876947999999999</v>
      </c>
      <c r="E64" s="70" t="s">
        <v>325</v>
      </c>
      <c r="F64" s="86" t="str">
        <f t="shared" si="0"/>
        <v>https://maps.google.com/?q=32.388343,-94.876948</v>
      </c>
      <c r="G64" s="72">
        <v>441</v>
      </c>
      <c r="H64" s="70" t="s">
        <v>16</v>
      </c>
      <c r="I64" s="70" t="s">
        <v>342</v>
      </c>
      <c r="J64" s="70" t="s">
        <v>334</v>
      </c>
      <c r="K64" s="70" t="s">
        <v>395</v>
      </c>
    </row>
    <row r="65" spans="1:11" x14ac:dyDescent="0.25">
      <c r="A65" s="70" t="s">
        <v>85</v>
      </c>
      <c r="B65" s="70" t="s">
        <v>232</v>
      </c>
      <c r="C65" s="71">
        <v>31.685980000000001</v>
      </c>
      <c r="D65" s="71">
        <v>-96.423339999999996</v>
      </c>
      <c r="E65" s="70" t="s">
        <v>330</v>
      </c>
      <c r="F65" s="86" t="str">
        <f t="shared" si="0"/>
        <v>https://maps.google.com/?q=31.68598,-96.42334</v>
      </c>
      <c r="G65" s="72">
        <v>774</v>
      </c>
      <c r="H65" s="70" t="s">
        <v>18</v>
      </c>
      <c r="I65" s="70" t="s">
        <v>342</v>
      </c>
      <c r="J65" s="70" t="s">
        <v>334</v>
      </c>
      <c r="K65" s="70" t="s">
        <v>396</v>
      </c>
    </row>
    <row r="66" spans="1:11" x14ac:dyDescent="0.25">
      <c r="A66" s="70" t="s">
        <v>86</v>
      </c>
      <c r="B66" s="70" t="s">
        <v>233</v>
      </c>
      <c r="C66" s="71">
        <v>32.23921</v>
      </c>
      <c r="D66" s="71">
        <v>-94.941980000000001</v>
      </c>
      <c r="E66" s="70" t="s">
        <v>325</v>
      </c>
      <c r="F66" s="86" t="str">
        <f t="shared" si="0"/>
        <v>https://maps.google.com/?q=32.23921,-94.94198</v>
      </c>
      <c r="G66" s="72">
        <v>1939</v>
      </c>
      <c r="H66" s="70" t="s">
        <v>18</v>
      </c>
      <c r="I66" s="70" t="s">
        <v>342</v>
      </c>
      <c r="J66" s="70" t="s">
        <v>334</v>
      </c>
      <c r="K66" s="70" t="s">
        <v>397</v>
      </c>
    </row>
    <row r="67" spans="1:11" x14ac:dyDescent="0.25">
      <c r="A67" s="70" t="s">
        <v>87</v>
      </c>
      <c r="B67" s="70" t="s">
        <v>234</v>
      </c>
      <c r="C67" s="71">
        <v>32.776339999999998</v>
      </c>
      <c r="D67" s="71">
        <v>-96.804010000000005</v>
      </c>
      <c r="E67" s="70" t="s">
        <v>325</v>
      </c>
      <c r="F67" s="86" t="str">
        <f t="shared" si="0"/>
        <v>https://maps.google.com/?q=32.77634,-96.80401</v>
      </c>
      <c r="G67" s="72">
        <v>3188</v>
      </c>
      <c r="H67" s="70" t="s">
        <v>19</v>
      </c>
      <c r="I67" s="70" t="s">
        <v>342</v>
      </c>
      <c r="J67" s="70" t="s">
        <v>334</v>
      </c>
      <c r="K67" s="70" t="s">
        <v>398</v>
      </c>
    </row>
    <row r="68" spans="1:11" x14ac:dyDescent="0.25">
      <c r="A68" s="70" t="s">
        <v>88</v>
      </c>
      <c r="B68" s="70" t="s">
        <v>235</v>
      </c>
      <c r="C68" s="71">
        <v>32.390749999999997</v>
      </c>
      <c r="D68" s="71">
        <v>-94.869349999999997</v>
      </c>
      <c r="E68" s="70" t="s">
        <v>325</v>
      </c>
      <c r="F68" s="86" t="str">
        <f t="shared" si="0"/>
        <v>https://maps.google.com/?q=32.39075,-94.86935</v>
      </c>
      <c r="G68" s="72">
        <v>743</v>
      </c>
      <c r="H68" s="70" t="s">
        <v>17</v>
      </c>
      <c r="I68" s="70" t="s">
        <v>342</v>
      </c>
      <c r="J68" s="70" t="s">
        <v>334</v>
      </c>
      <c r="K68" s="70" t="s">
        <v>399</v>
      </c>
    </row>
    <row r="69" spans="1:11" x14ac:dyDescent="0.25">
      <c r="A69" s="70" t="s">
        <v>89</v>
      </c>
      <c r="B69" s="70" t="s">
        <v>236</v>
      </c>
      <c r="C69" s="71">
        <v>30.619221</v>
      </c>
      <c r="D69" s="71">
        <v>-96.339321999999996</v>
      </c>
      <c r="E69" s="70" t="s">
        <v>325</v>
      </c>
      <c r="F69" s="86" t="str">
        <f t="shared" si="0"/>
        <v>https://maps.google.com/?q=30.619221,-96.339322</v>
      </c>
      <c r="G69" s="72">
        <v>3443</v>
      </c>
      <c r="H69" s="70" t="s">
        <v>17</v>
      </c>
      <c r="I69" s="70" t="s">
        <v>342</v>
      </c>
      <c r="J69" s="70" t="s">
        <v>334</v>
      </c>
      <c r="K69" s="70" t="s">
        <v>400</v>
      </c>
    </row>
    <row r="70" spans="1:11" x14ac:dyDescent="0.25">
      <c r="A70" s="70" t="s">
        <v>90</v>
      </c>
      <c r="B70" s="70" t="s">
        <v>237</v>
      </c>
      <c r="C70" s="71">
        <v>32.092661</v>
      </c>
      <c r="D70" s="71">
        <v>-96.463170000000005</v>
      </c>
      <c r="E70" s="70" t="s">
        <v>325</v>
      </c>
      <c r="F70" s="86" t="str">
        <f t="shared" si="0"/>
        <v>https://maps.google.com/?q=32.092661,-96.46317</v>
      </c>
      <c r="G70" s="72">
        <v>1119</v>
      </c>
      <c r="H70" s="70" t="s">
        <v>17</v>
      </c>
      <c r="I70" s="70" t="s">
        <v>342</v>
      </c>
      <c r="J70" s="70" t="s">
        <v>334</v>
      </c>
      <c r="K70" s="70" t="s">
        <v>401</v>
      </c>
    </row>
    <row r="71" spans="1:11" x14ac:dyDescent="0.25">
      <c r="A71" s="70" t="s">
        <v>91</v>
      </c>
      <c r="B71" s="70" t="s">
        <v>238</v>
      </c>
      <c r="C71" s="71">
        <v>32.178449999999998</v>
      </c>
      <c r="D71" s="71">
        <v>-94.922529999999995</v>
      </c>
      <c r="E71" s="70" t="s">
        <v>325</v>
      </c>
      <c r="F71" s="86" t="str">
        <f t="shared" si="0"/>
        <v>https://maps.google.com/?q=32.17845,-94.92253</v>
      </c>
      <c r="G71" s="72">
        <v>1236</v>
      </c>
      <c r="H71" s="70" t="s">
        <v>17</v>
      </c>
      <c r="I71" s="70" t="s">
        <v>342</v>
      </c>
      <c r="J71" s="70" t="s">
        <v>334</v>
      </c>
      <c r="K71" s="70" t="s">
        <v>402</v>
      </c>
    </row>
    <row r="72" spans="1:11" x14ac:dyDescent="0.25">
      <c r="A72" s="70" t="s">
        <v>92</v>
      </c>
      <c r="B72" s="70" t="s">
        <v>239</v>
      </c>
      <c r="C72" s="71">
        <v>29.762277999999998</v>
      </c>
      <c r="D72" s="71">
        <v>-95.387056999999999</v>
      </c>
      <c r="E72" s="70" t="s">
        <v>331</v>
      </c>
      <c r="F72" s="86" t="str">
        <f t="shared" si="0"/>
        <v>https://maps.google.com/?q=29.762278,-95.387057</v>
      </c>
      <c r="G72" s="72">
        <v>280</v>
      </c>
      <c r="H72" s="70" t="s">
        <v>16</v>
      </c>
      <c r="I72" s="70" t="s">
        <v>342</v>
      </c>
      <c r="J72" s="70" t="s">
        <v>335</v>
      </c>
      <c r="K72" s="70" t="s">
        <v>403</v>
      </c>
    </row>
    <row r="73" spans="1:11" x14ac:dyDescent="0.25">
      <c r="A73" s="70" t="s">
        <v>93</v>
      </c>
      <c r="B73" s="70" t="s">
        <v>240</v>
      </c>
      <c r="C73" s="71">
        <v>30.280370000000001</v>
      </c>
      <c r="D73" s="71">
        <v>-95.357860000000002</v>
      </c>
      <c r="E73" s="70" t="s">
        <v>325</v>
      </c>
      <c r="F73" s="86" t="str">
        <f t="shared" si="0"/>
        <v>https://maps.google.com/?q=30.28037,-95.35786</v>
      </c>
      <c r="G73" s="72">
        <v>252</v>
      </c>
      <c r="H73" s="70" t="s">
        <v>18</v>
      </c>
      <c r="I73" s="70" t="s">
        <v>342</v>
      </c>
      <c r="J73" s="70" t="s">
        <v>335</v>
      </c>
      <c r="K73" s="70" t="s">
        <v>404</v>
      </c>
    </row>
    <row r="74" spans="1:11" x14ac:dyDescent="0.25">
      <c r="A74" s="70" t="s">
        <v>94</v>
      </c>
      <c r="B74" s="70" t="s">
        <v>241</v>
      </c>
      <c r="C74" s="71">
        <v>32.423900000000003</v>
      </c>
      <c r="D74" s="71">
        <v>-98.697620000000001</v>
      </c>
      <c r="E74" s="70" t="s">
        <v>325</v>
      </c>
      <c r="F74" s="86" t="str">
        <f t="shared" si="0"/>
        <v>https://maps.google.com/?q=32.4239,-98.69762</v>
      </c>
      <c r="G74" s="72">
        <v>773</v>
      </c>
      <c r="H74" s="70" t="s">
        <v>16</v>
      </c>
      <c r="I74" s="70" t="s">
        <v>342</v>
      </c>
      <c r="J74" s="70" t="s">
        <v>336</v>
      </c>
      <c r="K74" s="70" t="s">
        <v>405</v>
      </c>
    </row>
    <row r="75" spans="1:11" x14ac:dyDescent="0.25">
      <c r="A75" s="70" t="s">
        <v>95</v>
      </c>
      <c r="B75" s="70" t="s">
        <v>242</v>
      </c>
      <c r="C75" s="71">
        <v>32.552163999999998</v>
      </c>
      <c r="D75" s="71">
        <v>-98.497169999999997</v>
      </c>
      <c r="E75" s="70" t="s">
        <v>325</v>
      </c>
      <c r="F75" s="86" t="str">
        <f t="shared" si="0"/>
        <v>https://maps.google.com/?q=32.552164,-98.49717</v>
      </c>
      <c r="G75" s="72">
        <v>331</v>
      </c>
      <c r="H75" s="70" t="s">
        <v>16</v>
      </c>
      <c r="I75" s="70" t="s">
        <v>342</v>
      </c>
      <c r="J75" s="70" t="s">
        <v>336</v>
      </c>
      <c r="K75" s="70" t="s">
        <v>406</v>
      </c>
    </row>
    <row r="76" spans="1:11" x14ac:dyDescent="0.25">
      <c r="A76" s="70" t="s">
        <v>96</v>
      </c>
      <c r="B76" s="70" t="s">
        <v>243</v>
      </c>
      <c r="C76" s="71">
        <v>31.196697</v>
      </c>
      <c r="D76" s="71">
        <v>-98.666095999999996</v>
      </c>
      <c r="E76" s="70" t="s">
        <v>325</v>
      </c>
      <c r="F76" s="86" t="str">
        <f t="shared" si="0"/>
        <v>https://maps.google.com/?q=31.196697,-98.666096</v>
      </c>
      <c r="G76" s="72">
        <v>3194</v>
      </c>
      <c r="H76" s="70" t="s">
        <v>16</v>
      </c>
      <c r="I76" s="70" t="s">
        <v>342</v>
      </c>
      <c r="J76" s="70" t="s">
        <v>336</v>
      </c>
      <c r="K76" s="70" t="s">
        <v>407</v>
      </c>
    </row>
    <row r="77" spans="1:11" x14ac:dyDescent="0.25">
      <c r="A77" s="70" t="s">
        <v>97</v>
      </c>
      <c r="B77" s="70" t="s">
        <v>244</v>
      </c>
      <c r="C77" s="71">
        <v>33.479714000000001</v>
      </c>
      <c r="D77" s="71">
        <v>-98.446611000000004</v>
      </c>
      <c r="E77" s="70" t="s">
        <v>325</v>
      </c>
      <c r="F77" s="86" t="str">
        <f t="shared" si="0"/>
        <v>https://maps.google.com/?q=33.479714,-98.446611</v>
      </c>
      <c r="G77" s="72">
        <v>147</v>
      </c>
      <c r="H77" s="70" t="s">
        <v>16</v>
      </c>
      <c r="I77" s="70" t="s">
        <v>342</v>
      </c>
      <c r="J77" s="70" t="s">
        <v>336</v>
      </c>
      <c r="K77" s="70" t="s">
        <v>408</v>
      </c>
    </row>
    <row r="78" spans="1:11" x14ac:dyDescent="0.25">
      <c r="A78" s="70" t="s">
        <v>98</v>
      </c>
      <c r="B78" s="70" t="s">
        <v>245</v>
      </c>
      <c r="C78" s="71">
        <v>32.26932</v>
      </c>
      <c r="D78" s="71">
        <v>-98.555999999999997</v>
      </c>
      <c r="E78" s="70" t="s">
        <v>325</v>
      </c>
      <c r="F78" s="86" t="str">
        <f t="shared" ref="F78:F141" si="1">HYPERLINK("https://maps.google.com/?q="&amp;C78&amp;","&amp;D78)</f>
        <v>https://maps.google.com/?q=32.26932,-98.556</v>
      </c>
      <c r="G78" s="72">
        <v>15</v>
      </c>
      <c r="H78" s="70" t="s">
        <v>19</v>
      </c>
      <c r="I78" s="70" t="s">
        <v>342</v>
      </c>
      <c r="J78" s="70" t="s">
        <v>336</v>
      </c>
      <c r="K78" s="70" t="s">
        <v>409</v>
      </c>
    </row>
    <row r="79" spans="1:11" x14ac:dyDescent="0.25">
      <c r="A79" s="70" t="s">
        <v>99</v>
      </c>
      <c r="B79" s="70" t="s">
        <v>246</v>
      </c>
      <c r="C79" s="71">
        <v>32.723300000000002</v>
      </c>
      <c r="D79" s="71">
        <v>-99.294290000000004</v>
      </c>
      <c r="E79" s="70" t="s">
        <v>325</v>
      </c>
      <c r="F79" s="86" t="str">
        <f t="shared" si="1"/>
        <v>https://maps.google.com/?q=32.7233,-99.29429</v>
      </c>
      <c r="G79" s="72">
        <v>725</v>
      </c>
      <c r="H79" s="70" t="s">
        <v>17</v>
      </c>
      <c r="I79" s="70" t="s">
        <v>342</v>
      </c>
      <c r="J79" s="70" t="s">
        <v>336</v>
      </c>
      <c r="K79" s="70" t="s">
        <v>410</v>
      </c>
    </row>
    <row r="80" spans="1:11" x14ac:dyDescent="0.25">
      <c r="A80" s="70" t="s">
        <v>100</v>
      </c>
      <c r="B80" s="70" t="s">
        <v>247</v>
      </c>
      <c r="C80" s="71">
        <v>32.756028999999998</v>
      </c>
      <c r="D80" s="71">
        <v>-98.902760999999998</v>
      </c>
      <c r="E80" s="70" t="s">
        <v>325</v>
      </c>
      <c r="F80" s="86" t="str">
        <f t="shared" si="1"/>
        <v>https://maps.google.com/?q=32.756029,-98.902761</v>
      </c>
      <c r="G80" s="72">
        <v>404</v>
      </c>
      <c r="H80" s="70" t="s">
        <v>17</v>
      </c>
      <c r="I80" s="70" t="s">
        <v>342</v>
      </c>
      <c r="J80" s="70" t="s">
        <v>336</v>
      </c>
      <c r="K80" s="70" t="s">
        <v>411</v>
      </c>
    </row>
    <row r="81" spans="1:11" x14ac:dyDescent="0.25">
      <c r="A81" s="70" t="s">
        <v>101</v>
      </c>
      <c r="B81" s="70" t="s">
        <v>248</v>
      </c>
      <c r="C81" s="71">
        <v>27.733416999999999</v>
      </c>
      <c r="D81" s="71">
        <v>-97.367018000000002</v>
      </c>
      <c r="E81" s="70" t="s">
        <v>325</v>
      </c>
      <c r="F81" s="86" t="str">
        <f t="shared" si="1"/>
        <v>https://maps.google.com/?q=27.733417,-97.367018</v>
      </c>
      <c r="G81" s="72">
        <v>771</v>
      </c>
      <c r="H81" s="70" t="s">
        <v>16</v>
      </c>
      <c r="I81" s="70" t="s">
        <v>342</v>
      </c>
      <c r="J81" s="70" t="s">
        <v>337</v>
      </c>
      <c r="K81" s="70" t="s">
        <v>412</v>
      </c>
    </row>
    <row r="82" spans="1:11" x14ac:dyDescent="0.25">
      <c r="A82" s="70" t="s">
        <v>102</v>
      </c>
      <c r="B82" s="70" t="s">
        <v>249</v>
      </c>
      <c r="C82" s="71">
        <v>35.675139999999999</v>
      </c>
      <c r="D82" s="71">
        <v>-101.39221000000001</v>
      </c>
      <c r="E82" s="70" t="s">
        <v>325</v>
      </c>
      <c r="F82" s="86" t="str">
        <f t="shared" si="1"/>
        <v>https://maps.google.com/?q=35.67514,-101.39221</v>
      </c>
      <c r="G82" s="72">
        <v>426</v>
      </c>
      <c r="H82" s="70" t="s">
        <v>16</v>
      </c>
      <c r="I82" s="70" t="s">
        <v>342</v>
      </c>
      <c r="J82" s="70" t="s">
        <v>337</v>
      </c>
      <c r="K82" s="70" t="s">
        <v>413</v>
      </c>
    </row>
    <row r="83" spans="1:11" x14ac:dyDescent="0.25">
      <c r="A83" s="70" t="s">
        <v>103</v>
      </c>
      <c r="B83" s="70" t="s">
        <v>250</v>
      </c>
      <c r="C83" s="71">
        <v>30.575323000000001</v>
      </c>
      <c r="D83" s="71">
        <v>-97.411207000000005</v>
      </c>
      <c r="E83" s="70" t="s">
        <v>325</v>
      </c>
      <c r="F83" s="86" t="str">
        <f t="shared" si="1"/>
        <v>https://maps.google.com/?q=30.575323,-97.411207</v>
      </c>
      <c r="G83" s="72">
        <v>911</v>
      </c>
      <c r="H83" s="70" t="s">
        <v>16</v>
      </c>
      <c r="I83" s="70" t="s">
        <v>342</v>
      </c>
      <c r="J83" s="70" t="s">
        <v>337</v>
      </c>
      <c r="K83" s="70" t="s">
        <v>414</v>
      </c>
    </row>
    <row r="84" spans="1:11" x14ac:dyDescent="0.25">
      <c r="A84" s="70" t="s">
        <v>104</v>
      </c>
      <c r="B84" s="70" t="s">
        <v>251</v>
      </c>
      <c r="C84" s="71">
        <v>35.353096000000001</v>
      </c>
      <c r="D84" s="71">
        <v>-101.37066299999999</v>
      </c>
      <c r="E84" s="70" t="s">
        <v>325</v>
      </c>
      <c r="F84" s="86" t="str">
        <f t="shared" si="1"/>
        <v>https://maps.google.com/?q=35.353096,-101.370663</v>
      </c>
      <c r="G84" s="72">
        <v>403</v>
      </c>
      <c r="H84" s="70" t="s">
        <v>18</v>
      </c>
      <c r="I84" s="70" t="s">
        <v>342</v>
      </c>
      <c r="J84" s="70" t="s">
        <v>337</v>
      </c>
      <c r="K84" s="70" t="s">
        <v>415</v>
      </c>
    </row>
    <row r="85" spans="1:11" x14ac:dyDescent="0.25">
      <c r="A85" s="70" t="s">
        <v>105</v>
      </c>
      <c r="B85" s="70" t="s">
        <v>252</v>
      </c>
      <c r="C85" s="71">
        <v>32.964198000000003</v>
      </c>
      <c r="D85" s="71">
        <v>-102.81938</v>
      </c>
      <c r="E85" s="70" t="s">
        <v>325</v>
      </c>
      <c r="F85" s="86" t="str">
        <f t="shared" si="1"/>
        <v>https://maps.google.com/?q=32.964198,-102.81938</v>
      </c>
      <c r="G85" s="72">
        <v>382</v>
      </c>
      <c r="H85" s="70" t="s">
        <v>18</v>
      </c>
      <c r="I85" s="70" t="s">
        <v>342</v>
      </c>
      <c r="J85" s="70" t="s">
        <v>338</v>
      </c>
      <c r="K85" s="70" t="s">
        <v>416</v>
      </c>
    </row>
    <row r="86" spans="1:11" x14ac:dyDescent="0.25">
      <c r="A86" s="70" t="s">
        <v>106</v>
      </c>
      <c r="B86" s="70" t="s">
        <v>253</v>
      </c>
      <c r="C86" s="71">
        <v>31.862044999999998</v>
      </c>
      <c r="D86" s="71">
        <v>-102.34671400000001</v>
      </c>
      <c r="E86" s="70" t="s">
        <v>325</v>
      </c>
      <c r="F86" s="86" t="str">
        <f t="shared" si="1"/>
        <v>https://maps.google.com/?q=31.862045,-102.346714</v>
      </c>
      <c r="G86" s="72">
        <v>335</v>
      </c>
      <c r="H86" s="70" t="s">
        <v>18</v>
      </c>
      <c r="I86" s="70" t="s">
        <v>342</v>
      </c>
      <c r="J86" s="70" t="s">
        <v>338</v>
      </c>
      <c r="K86" s="70" t="s">
        <v>417</v>
      </c>
    </row>
    <row r="87" spans="1:11" x14ac:dyDescent="0.25">
      <c r="A87" s="70" t="s">
        <v>107</v>
      </c>
      <c r="B87" s="70" t="s">
        <v>254</v>
      </c>
      <c r="C87" s="71">
        <v>31.320489999999999</v>
      </c>
      <c r="D87" s="71">
        <v>-101.94337</v>
      </c>
      <c r="E87" s="70" t="s">
        <v>325</v>
      </c>
      <c r="F87" s="86" t="str">
        <f t="shared" si="1"/>
        <v>https://maps.google.com/?q=31.32049,-101.94337</v>
      </c>
      <c r="G87" s="72">
        <v>619</v>
      </c>
      <c r="H87" s="70" t="s">
        <v>19</v>
      </c>
      <c r="I87" s="70" t="s">
        <v>342</v>
      </c>
      <c r="J87" s="70" t="s">
        <v>338</v>
      </c>
      <c r="K87" s="70" t="s">
        <v>418</v>
      </c>
    </row>
    <row r="88" spans="1:11" x14ac:dyDescent="0.25">
      <c r="A88" s="70" t="s">
        <v>108</v>
      </c>
      <c r="B88" s="70" t="s">
        <v>255</v>
      </c>
      <c r="C88" s="71">
        <v>30.12172</v>
      </c>
      <c r="D88" s="71">
        <v>-94.646879999999996</v>
      </c>
      <c r="E88" s="70" t="s">
        <v>325</v>
      </c>
      <c r="F88" s="86" t="str">
        <f t="shared" si="1"/>
        <v>https://maps.google.com/?q=30.12172,-94.64688</v>
      </c>
      <c r="G88" s="72">
        <v>1205</v>
      </c>
      <c r="H88" s="70" t="s">
        <v>18</v>
      </c>
      <c r="I88" s="70" t="s">
        <v>342</v>
      </c>
      <c r="J88" s="70" t="s">
        <v>339</v>
      </c>
      <c r="K88" s="70" t="s">
        <v>419</v>
      </c>
    </row>
    <row r="89" spans="1:11" x14ac:dyDescent="0.25">
      <c r="A89" s="70" t="s">
        <v>109</v>
      </c>
      <c r="B89" s="70" t="s">
        <v>256</v>
      </c>
      <c r="C89" s="71">
        <v>30.086390000000002</v>
      </c>
      <c r="D89" s="71">
        <v>-94.103399999999993</v>
      </c>
      <c r="E89" s="70" t="s">
        <v>325</v>
      </c>
      <c r="F89" s="86" t="str">
        <f t="shared" si="1"/>
        <v>https://maps.google.com/?q=30.08639,-94.1034</v>
      </c>
      <c r="G89" s="72">
        <v>1737</v>
      </c>
      <c r="H89" s="70" t="s">
        <v>16</v>
      </c>
      <c r="I89" s="70" t="s">
        <v>342</v>
      </c>
      <c r="J89" s="70" t="s">
        <v>341</v>
      </c>
      <c r="K89" s="70" t="s">
        <v>420</v>
      </c>
    </row>
    <row r="90" spans="1:11" x14ac:dyDescent="0.25">
      <c r="A90" s="70" t="s">
        <v>110</v>
      </c>
      <c r="B90" s="70" t="s">
        <v>257</v>
      </c>
      <c r="C90" s="71">
        <v>29.343467</v>
      </c>
      <c r="D90" s="71">
        <v>-98.469841000000002</v>
      </c>
      <c r="E90" s="70" t="s">
        <v>328</v>
      </c>
      <c r="F90" s="86" t="str">
        <f t="shared" si="1"/>
        <v>https://maps.google.com/?q=29.343467,-98.469841</v>
      </c>
      <c r="G90" s="72">
        <v>636</v>
      </c>
      <c r="H90" s="70" t="s">
        <v>16</v>
      </c>
      <c r="I90" s="70" t="s">
        <v>342</v>
      </c>
      <c r="J90" s="70" t="s">
        <v>341</v>
      </c>
      <c r="K90" s="70" t="s">
        <v>421</v>
      </c>
    </row>
    <row r="91" spans="1:11" x14ac:dyDescent="0.25">
      <c r="A91" s="70" t="s">
        <v>111</v>
      </c>
      <c r="B91" s="70" t="s">
        <v>258</v>
      </c>
      <c r="C91" s="71">
        <v>30.085933000000001</v>
      </c>
      <c r="D91" s="71">
        <v>-94.099052999999998</v>
      </c>
      <c r="E91" s="70" t="s">
        <v>325</v>
      </c>
      <c r="F91" s="86" t="str">
        <f t="shared" si="1"/>
        <v>https://maps.google.com/?q=30.085933,-94.099053</v>
      </c>
      <c r="G91" s="72">
        <v>684</v>
      </c>
      <c r="H91" s="70" t="s">
        <v>19</v>
      </c>
      <c r="I91" s="70" t="s">
        <v>342</v>
      </c>
      <c r="J91" s="70" t="s">
        <v>341</v>
      </c>
      <c r="K91" s="70" t="s">
        <v>422</v>
      </c>
    </row>
    <row r="92" spans="1:11" x14ac:dyDescent="0.25">
      <c r="A92" s="70" t="s">
        <v>112</v>
      </c>
      <c r="B92" s="70" t="s">
        <v>259</v>
      </c>
      <c r="C92" s="71">
        <v>31.473835999999999</v>
      </c>
      <c r="D92" s="71">
        <v>-94.474611999999993</v>
      </c>
      <c r="E92" s="70" t="s">
        <v>325</v>
      </c>
      <c r="F92" s="86" t="str">
        <f t="shared" si="1"/>
        <v>https://maps.google.com/?q=31.473836,-94.474612</v>
      </c>
      <c r="G92" s="72">
        <v>4742</v>
      </c>
      <c r="H92" s="70" t="s">
        <v>20</v>
      </c>
      <c r="I92" s="70" t="s">
        <v>343</v>
      </c>
      <c r="J92" s="70" t="s">
        <v>334</v>
      </c>
      <c r="K92" s="70" t="s">
        <v>423</v>
      </c>
    </row>
    <row r="93" spans="1:11" x14ac:dyDescent="0.25">
      <c r="A93" s="70" t="s">
        <v>113</v>
      </c>
      <c r="B93" s="70" t="s">
        <v>260</v>
      </c>
      <c r="C93" s="71">
        <v>31.661629999999999</v>
      </c>
      <c r="D93" s="71">
        <v>-96.499650000000003</v>
      </c>
      <c r="E93" s="70" t="s">
        <v>325</v>
      </c>
      <c r="F93" s="86" t="str">
        <f t="shared" si="1"/>
        <v>https://maps.google.com/?q=31.66163,-96.49965</v>
      </c>
      <c r="G93" s="72">
        <v>1530</v>
      </c>
      <c r="H93" s="70" t="s">
        <v>20</v>
      </c>
      <c r="I93" s="70" t="s">
        <v>343</v>
      </c>
      <c r="J93" s="70" t="s">
        <v>334</v>
      </c>
      <c r="K93" s="70" t="s">
        <v>424</v>
      </c>
    </row>
    <row r="94" spans="1:11" x14ac:dyDescent="0.25">
      <c r="A94" s="70" t="s">
        <v>114</v>
      </c>
      <c r="B94" s="70" t="s">
        <v>261</v>
      </c>
      <c r="C94" s="71">
        <v>31.77403</v>
      </c>
      <c r="D94" s="71">
        <v>-96.468609999999998</v>
      </c>
      <c r="E94" s="70" t="s">
        <v>325</v>
      </c>
      <c r="F94" s="86" t="str">
        <f t="shared" si="1"/>
        <v>https://maps.google.com/?q=31.77403,-96.46861</v>
      </c>
      <c r="G94" s="72">
        <v>1533</v>
      </c>
      <c r="H94" s="70" t="s">
        <v>20</v>
      </c>
      <c r="I94" s="70" t="s">
        <v>343</v>
      </c>
      <c r="J94" s="70" t="s">
        <v>334</v>
      </c>
      <c r="K94" s="70" t="s">
        <v>425</v>
      </c>
    </row>
    <row r="95" spans="1:11" x14ac:dyDescent="0.25">
      <c r="A95" s="70" t="s">
        <v>115</v>
      </c>
      <c r="B95" s="70" t="s">
        <v>262</v>
      </c>
      <c r="C95" s="71">
        <v>31.477264000000002</v>
      </c>
      <c r="D95" s="71">
        <v>-94.486904999999993</v>
      </c>
      <c r="E95" s="70" t="s">
        <v>325</v>
      </c>
      <c r="F95" s="86" t="str">
        <f t="shared" si="1"/>
        <v>https://maps.google.com/?q=31.477264,-94.486905</v>
      </c>
      <c r="G95" s="72">
        <v>474</v>
      </c>
      <c r="H95" s="70" t="s">
        <v>20</v>
      </c>
      <c r="I95" s="70" t="s">
        <v>343</v>
      </c>
      <c r="J95" s="70" t="s">
        <v>334</v>
      </c>
      <c r="K95" s="70" t="s">
        <v>426</v>
      </c>
    </row>
    <row r="96" spans="1:11" x14ac:dyDescent="0.25">
      <c r="A96" s="70" t="s">
        <v>116</v>
      </c>
      <c r="B96" s="70" t="s">
        <v>263</v>
      </c>
      <c r="C96" s="71">
        <v>32.117469999999997</v>
      </c>
      <c r="D96" s="71">
        <v>-96.326329999999999</v>
      </c>
      <c r="E96" s="70" t="s">
        <v>325</v>
      </c>
      <c r="F96" s="86" t="str">
        <f t="shared" si="1"/>
        <v>https://maps.google.com/?q=32.11747,-96.32633</v>
      </c>
      <c r="G96" s="72">
        <v>1696</v>
      </c>
      <c r="H96" s="70" t="s">
        <v>20</v>
      </c>
      <c r="I96" s="70" t="s">
        <v>343</v>
      </c>
      <c r="J96" s="70" t="s">
        <v>334</v>
      </c>
      <c r="K96" s="70" t="s">
        <v>427</v>
      </c>
    </row>
    <row r="97" spans="1:11" x14ac:dyDescent="0.25">
      <c r="A97" s="70" t="s">
        <v>117</v>
      </c>
      <c r="B97" s="70" t="s">
        <v>264</v>
      </c>
      <c r="C97" s="71">
        <v>33.365830000000003</v>
      </c>
      <c r="D97" s="71">
        <v>-95.106112999999993</v>
      </c>
      <c r="E97" s="70" t="s">
        <v>325</v>
      </c>
      <c r="F97" s="86" t="str">
        <f t="shared" si="1"/>
        <v>https://maps.google.com/?q=33.36583,-95.106113</v>
      </c>
      <c r="G97" s="72">
        <v>694</v>
      </c>
      <c r="H97" s="70" t="s">
        <v>20</v>
      </c>
      <c r="I97" s="70" t="s">
        <v>343</v>
      </c>
      <c r="J97" s="70" t="s">
        <v>334</v>
      </c>
      <c r="K97" s="70" t="s">
        <v>428</v>
      </c>
    </row>
    <row r="98" spans="1:11" x14ac:dyDescent="0.25">
      <c r="A98" s="70" t="s">
        <v>118</v>
      </c>
      <c r="B98" s="70" t="s">
        <v>265</v>
      </c>
      <c r="C98" s="71">
        <v>31.787600000000001</v>
      </c>
      <c r="D98" s="71">
        <v>-96.464290000000005</v>
      </c>
      <c r="E98" s="70" t="s">
        <v>325</v>
      </c>
      <c r="F98" s="86" t="str">
        <f t="shared" si="1"/>
        <v>https://maps.google.com/?q=31.7876,-96.46429</v>
      </c>
      <c r="G98" s="72">
        <v>205</v>
      </c>
      <c r="H98" s="70" t="s">
        <v>20</v>
      </c>
      <c r="I98" s="70" t="s">
        <v>343</v>
      </c>
      <c r="J98" s="70" t="s">
        <v>334</v>
      </c>
      <c r="K98" s="70" t="s">
        <v>429</v>
      </c>
    </row>
    <row r="99" spans="1:11" x14ac:dyDescent="0.25">
      <c r="A99" s="70" t="s">
        <v>119</v>
      </c>
      <c r="B99" s="70" t="s">
        <v>266</v>
      </c>
      <c r="C99" s="71">
        <v>28.995940000000001</v>
      </c>
      <c r="D99" s="71">
        <v>-96.138859999999994</v>
      </c>
      <c r="E99" s="70" t="s">
        <v>325</v>
      </c>
      <c r="F99" s="86" t="str">
        <f t="shared" si="1"/>
        <v>https://maps.google.com/?q=28.99594,-96.13886</v>
      </c>
      <c r="G99" s="72">
        <v>1256</v>
      </c>
      <c r="H99" s="70" t="s">
        <v>20</v>
      </c>
      <c r="I99" s="70" t="s">
        <v>343</v>
      </c>
      <c r="J99" s="70" t="s">
        <v>335</v>
      </c>
      <c r="K99" s="70" t="s">
        <v>430</v>
      </c>
    </row>
    <row r="100" spans="1:11" x14ac:dyDescent="0.25">
      <c r="A100" s="70" t="s">
        <v>120</v>
      </c>
      <c r="B100" s="70" t="s">
        <v>267</v>
      </c>
      <c r="C100" s="71">
        <v>29.729939999999999</v>
      </c>
      <c r="D100" s="71">
        <v>-94.968919999999997</v>
      </c>
      <c r="E100" s="70" t="s">
        <v>325</v>
      </c>
      <c r="F100" s="86" t="str">
        <f t="shared" si="1"/>
        <v>https://maps.google.com/?q=29.72994,-94.96892</v>
      </c>
      <c r="G100" s="72">
        <v>535</v>
      </c>
      <c r="H100" s="70" t="s">
        <v>20</v>
      </c>
      <c r="I100" s="70" t="s">
        <v>343</v>
      </c>
      <c r="J100" s="70" t="s">
        <v>335</v>
      </c>
      <c r="K100" s="70" t="s">
        <v>431</v>
      </c>
    </row>
    <row r="101" spans="1:11" x14ac:dyDescent="0.25">
      <c r="A101" s="70" t="s">
        <v>121</v>
      </c>
      <c r="B101" s="70" t="s">
        <v>268</v>
      </c>
      <c r="C101" s="71">
        <v>30.325626</v>
      </c>
      <c r="D101" s="71">
        <v>-96.511602999999994</v>
      </c>
      <c r="E101" s="70" t="s">
        <v>325</v>
      </c>
      <c r="F101" s="86" t="str">
        <f t="shared" si="1"/>
        <v>https://maps.google.com/?q=30.325626,-96.511603</v>
      </c>
      <c r="G101" s="72">
        <v>321</v>
      </c>
      <c r="H101" s="70" t="s">
        <v>20</v>
      </c>
      <c r="I101" s="70" t="s">
        <v>343</v>
      </c>
      <c r="J101" s="70" t="s">
        <v>335</v>
      </c>
      <c r="K101" s="70" t="s">
        <v>417</v>
      </c>
    </row>
    <row r="102" spans="1:11" x14ac:dyDescent="0.25">
      <c r="A102" s="70" t="s">
        <v>122</v>
      </c>
      <c r="B102" s="70" t="s">
        <v>269</v>
      </c>
      <c r="C102" s="71">
        <v>34.091766999999997</v>
      </c>
      <c r="D102" s="71">
        <v>-98.696924999999993</v>
      </c>
      <c r="E102" s="70" t="s">
        <v>325</v>
      </c>
      <c r="F102" s="86" t="str">
        <f t="shared" si="1"/>
        <v>https://maps.google.com/?q=34.091767,-98.696925</v>
      </c>
      <c r="G102" s="72">
        <v>358</v>
      </c>
      <c r="H102" s="70" t="s">
        <v>20</v>
      </c>
      <c r="I102" s="70" t="s">
        <v>343</v>
      </c>
      <c r="J102" s="70" t="s">
        <v>336</v>
      </c>
      <c r="K102" s="70" t="s">
        <v>432</v>
      </c>
    </row>
    <row r="103" spans="1:11" x14ac:dyDescent="0.25">
      <c r="A103" s="70" t="s">
        <v>123</v>
      </c>
      <c r="B103" s="70" t="s">
        <v>270</v>
      </c>
      <c r="C103" s="71">
        <v>32.514560000000003</v>
      </c>
      <c r="D103" s="71">
        <v>-98.68638</v>
      </c>
      <c r="E103" s="70" t="s">
        <v>325</v>
      </c>
      <c r="F103" s="86" t="str">
        <f t="shared" si="1"/>
        <v>https://maps.google.com/?q=32.51456,-98.68638</v>
      </c>
      <c r="G103" s="72">
        <v>524</v>
      </c>
      <c r="H103" s="70" t="s">
        <v>20</v>
      </c>
      <c r="I103" s="70" t="s">
        <v>343</v>
      </c>
      <c r="J103" s="70" t="s">
        <v>336</v>
      </c>
      <c r="K103" s="70" t="s">
        <v>433</v>
      </c>
    </row>
    <row r="104" spans="1:11" x14ac:dyDescent="0.25">
      <c r="A104" s="70" t="s">
        <v>124</v>
      </c>
      <c r="B104" s="70" t="s">
        <v>271</v>
      </c>
      <c r="C104" s="71">
        <v>34.100990000000003</v>
      </c>
      <c r="D104" s="71">
        <v>-98.547550000000001</v>
      </c>
      <c r="E104" s="70" t="s">
        <v>325</v>
      </c>
      <c r="F104" s="86" t="str">
        <f t="shared" si="1"/>
        <v>https://maps.google.com/?q=34.10099,-98.54755</v>
      </c>
      <c r="G104" s="72">
        <v>355</v>
      </c>
      <c r="H104" s="70" t="s">
        <v>20</v>
      </c>
      <c r="I104" s="70" t="s">
        <v>343</v>
      </c>
      <c r="J104" s="70" t="s">
        <v>336</v>
      </c>
      <c r="K104" s="70" t="s">
        <v>434</v>
      </c>
    </row>
    <row r="105" spans="1:11" x14ac:dyDescent="0.25">
      <c r="A105" s="70" t="s">
        <v>125</v>
      </c>
      <c r="B105" s="70" t="s">
        <v>272</v>
      </c>
      <c r="C105" s="71">
        <v>34.096677</v>
      </c>
      <c r="D105" s="71">
        <v>-98.674077999999994</v>
      </c>
      <c r="E105" s="70" t="s">
        <v>325</v>
      </c>
      <c r="F105" s="86" t="str">
        <f t="shared" si="1"/>
        <v>https://maps.google.com/?q=34.096677,-98.674078</v>
      </c>
      <c r="G105" s="72">
        <v>358</v>
      </c>
      <c r="H105" s="70" t="s">
        <v>20</v>
      </c>
      <c r="I105" s="70" t="s">
        <v>343</v>
      </c>
      <c r="J105" s="70" t="s">
        <v>336</v>
      </c>
      <c r="K105" s="70" t="s">
        <v>435</v>
      </c>
    </row>
    <row r="106" spans="1:11" x14ac:dyDescent="0.25">
      <c r="A106" s="70" t="s">
        <v>126</v>
      </c>
      <c r="B106" s="70" t="s">
        <v>273</v>
      </c>
      <c r="C106" s="71">
        <v>32.269280000000002</v>
      </c>
      <c r="D106" s="71">
        <v>-98.555109999999999</v>
      </c>
      <c r="E106" s="70" t="s">
        <v>325</v>
      </c>
      <c r="F106" s="86" t="str">
        <f t="shared" si="1"/>
        <v>https://maps.google.com/?q=32.26928,-98.55511</v>
      </c>
      <c r="G106" s="72">
        <v>443</v>
      </c>
      <c r="H106" s="70" t="s">
        <v>20</v>
      </c>
      <c r="I106" s="70" t="s">
        <v>343</v>
      </c>
      <c r="J106" s="70" t="s">
        <v>336</v>
      </c>
      <c r="K106" s="70" t="s">
        <v>436</v>
      </c>
    </row>
    <row r="107" spans="1:11" x14ac:dyDescent="0.25">
      <c r="A107" s="70" t="s">
        <v>127</v>
      </c>
      <c r="B107" s="70" t="s">
        <v>274</v>
      </c>
      <c r="C107" s="71">
        <v>32.960059999999999</v>
      </c>
      <c r="D107" s="71">
        <v>-98.766080000000002</v>
      </c>
      <c r="E107" s="70" t="s">
        <v>325</v>
      </c>
      <c r="F107" s="86" t="str">
        <f t="shared" si="1"/>
        <v>https://maps.google.com/?q=32.96006,-98.76608</v>
      </c>
      <c r="G107" s="72">
        <v>2146</v>
      </c>
      <c r="H107" s="70" t="s">
        <v>20</v>
      </c>
      <c r="I107" s="70" t="s">
        <v>343</v>
      </c>
      <c r="J107" s="70" t="s">
        <v>336</v>
      </c>
      <c r="K107" s="70" t="s">
        <v>437</v>
      </c>
    </row>
    <row r="108" spans="1:11" x14ac:dyDescent="0.25">
      <c r="A108" s="70" t="s">
        <v>128</v>
      </c>
      <c r="B108" s="70" t="s">
        <v>275</v>
      </c>
      <c r="C108" s="71">
        <v>32.268520000000002</v>
      </c>
      <c r="D108" s="71">
        <v>-98.551329999999993</v>
      </c>
      <c r="E108" s="70" t="s">
        <v>325</v>
      </c>
      <c r="F108" s="86" t="str">
        <f t="shared" si="1"/>
        <v>https://maps.google.com/?q=32.26852,-98.55133</v>
      </c>
      <c r="G108" s="72">
        <v>363</v>
      </c>
      <c r="H108" s="70" t="s">
        <v>20</v>
      </c>
      <c r="I108" s="70" t="s">
        <v>343</v>
      </c>
      <c r="J108" s="70" t="s">
        <v>336</v>
      </c>
      <c r="K108" s="70" t="s">
        <v>438</v>
      </c>
    </row>
    <row r="109" spans="1:11" x14ac:dyDescent="0.25">
      <c r="A109" s="70" t="s">
        <v>129</v>
      </c>
      <c r="B109" s="70" t="s">
        <v>276</v>
      </c>
      <c r="C109" s="71">
        <v>32.541130000000003</v>
      </c>
      <c r="D109" s="71">
        <v>-98.873440000000002</v>
      </c>
      <c r="E109" s="70" t="s">
        <v>325</v>
      </c>
      <c r="F109" s="86" t="str">
        <f t="shared" si="1"/>
        <v>https://maps.google.com/?q=32.54113,-98.87344</v>
      </c>
      <c r="G109" s="72">
        <v>1551</v>
      </c>
      <c r="H109" s="70" t="s">
        <v>20</v>
      </c>
      <c r="I109" s="70" t="s">
        <v>343</v>
      </c>
      <c r="J109" s="70" t="s">
        <v>336</v>
      </c>
      <c r="K109" s="70" t="s">
        <v>439</v>
      </c>
    </row>
    <row r="110" spans="1:11" x14ac:dyDescent="0.25">
      <c r="A110" s="70" t="s">
        <v>130</v>
      </c>
      <c r="B110" s="70" t="s">
        <v>277</v>
      </c>
      <c r="C110" s="71">
        <v>32.683039999999998</v>
      </c>
      <c r="D110" s="71">
        <v>-99.131870000000006</v>
      </c>
      <c r="E110" s="70" t="s">
        <v>325</v>
      </c>
      <c r="F110" s="86" t="str">
        <f t="shared" si="1"/>
        <v>https://maps.google.com/?q=32.68304,-99.13187</v>
      </c>
      <c r="G110" s="72">
        <v>4239</v>
      </c>
      <c r="H110" s="70" t="s">
        <v>20</v>
      </c>
      <c r="I110" s="70" t="s">
        <v>343</v>
      </c>
      <c r="J110" s="70" t="s">
        <v>336</v>
      </c>
      <c r="K110" s="70" t="s">
        <v>440</v>
      </c>
    </row>
    <row r="111" spans="1:11" x14ac:dyDescent="0.25">
      <c r="A111" s="70" t="s">
        <v>131</v>
      </c>
      <c r="B111" s="70" t="s">
        <v>278</v>
      </c>
      <c r="C111" s="71">
        <v>33.450592</v>
      </c>
      <c r="D111" s="71">
        <v>-98.927442999999997</v>
      </c>
      <c r="E111" s="70" t="s">
        <v>325</v>
      </c>
      <c r="F111" s="86" t="str">
        <f t="shared" si="1"/>
        <v>https://maps.google.com/?q=33.450592,-98.927443</v>
      </c>
      <c r="G111" s="72">
        <v>2584</v>
      </c>
      <c r="H111" s="70" t="s">
        <v>20</v>
      </c>
      <c r="I111" s="70" t="s">
        <v>343</v>
      </c>
      <c r="J111" s="70" t="s">
        <v>336</v>
      </c>
      <c r="K111" s="70" t="s">
        <v>441</v>
      </c>
    </row>
    <row r="112" spans="1:11" x14ac:dyDescent="0.25">
      <c r="A112" s="70" t="s">
        <v>132</v>
      </c>
      <c r="B112" s="70" t="s">
        <v>279</v>
      </c>
      <c r="C112" s="71">
        <v>32.423302</v>
      </c>
      <c r="D112" s="71">
        <v>-98.698639</v>
      </c>
      <c r="E112" s="70" t="s">
        <v>325</v>
      </c>
      <c r="F112" s="86" t="str">
        <f t="shared" si="1"/>
        <v>https://maps.google.com/?q=32.423302,-98.698639</v>
      </c>
      <c r="G112" s="72">
        <v>127</v>
      </c>
      <c r="H112" s="70" t="s">
        <v>20</v>
      </c>
      <c r="I112" s="70" t="s">
        <v>343</v>
      </c>
      <c r="J112" s="70" t="s">
        <v>336</v>
      </c>
      <c r="K112" s="70" t="s">
        <v>442</v>
      </c>
    </row>
    <row r="113" spans="1:11" x14ac:dyDescent="0.25">
      <c r="A113" s="70" t="s">
        <v>133</v>
      </c>
      <c r="B113" s="70" t="s">
        <v>280</v>
      </c>
      <c r="C113" s="71">
        <v>32.548009999999998</v>
      </c>
      <c r="D113" s="71">
        <v>-99.163780000000003</v>
      </c>
      <c r="E113" s="70" t="s">
        <v>325</v>
      </c>
      <c r="F113" s="86" t="str">
        <f t="shared" si="1"/>
        <v>https://maps.google.com/?q=32.54801,-99.16378</v>
      </c>
      <c r="G113" s="72">
        <v>1385</v>
      </c>
      <c r="H113" s="70" t="s">
        <v>20</v>
      </c>
      <c r="I113" s="70" t="s">
        <v>343</v>
      </c>
      <c r="J113" s="70" t="s">
        <v>336</v>
      </c>
      <c r="K113" s="70" t="s">
        <v>443</v>
      </c>
    </row>
    <row r="114" spans="1:11" x14ac:dyDescent="0.25">
      <c r="A114" s="70" t="s">
        <v>134</v>
      </c>
      <c r="B114" s="70" t="s">
        <v>281</v>
      </c>
      <c r="C114" s="71">
        <v>32.648809999999997</v>
      </c>
      <c r="D114" s="71">
        <v>-98.773920000000004</v>
      </c>
      <c r="E114" s="70" t="s">
        <v>325</v>
      </c>
      <c r="F114" s="86" t="str">
        <f t="shared" si="1"/>
        <v>https://maps.google.com/?q=32.64881,-98.77392</v>
      </c>
      <c r="G114" s="72">
        <v>1573</v>
      </c>
      <c r="H114" s="70" t="s">
        <v>20</v>
      </c>
      <c r="I114" s="70" t="s">
        <v>343</v>
      </c>
      <c r="J114" s="70" t="s">
        <v>336</v>
      </c>
      <c r="K114" s="70" t="s">
        <v>444</v>
      </c>
    </row>
    <row r="115" spans="1:11" x14ac:dyDescent="0.25">
      <c r="A115" s="70" t="s">
        <v>135</v>
      </c>
      <c r="B115" s="70" t="s">
        <v>282</v>
      </c>
      <c r="C115" s="71">
        <v>32.780056000000002</v>
      </c>
      <c r="D115" s="71">
        <v>-98.709294999999997</v>
      </c>
      <c r="E115" s="70" t="s">
        <v>325</v>
      </c>
      <c r="F115" s="86" t="str">
        <f t="shared" si="1"/>
        <v>https://maps.google.com/?q=32.780056,-98.709295</v>
      </c>
      <c r="G115" s="72">
        <v>171</v>
      </c>
      <c r="H115" s="70" t="s">
        <v>20</v>
      </c>
      <c r="I115" s="70" t="s">
        <v>343</v>
      </c>
      <c r="J115" s="70" t="s">
        <v>336</v>
      </c>
      <c r="K115" s="70" t="s">
        <v>445</v>
      </c>
    </row>
    <row r="116" spans="1:11" x14ac:dyDescent="0.25">
      <c r="A116" s="70" t="s">
        <v>136</v>
      </c>
      <c r="B116" s="70" t="s">
        <v>283</v>
      </c>
      <c r="C116" s="71">
        <v>32.420518000000001</v>
      </c>
      <c r="D116" s="71">
        <v>-98.751686000000007</v>
      </c>
      <c r="E116" s="70" t="s">
        <v>325</v>
      </c>
      <c r="F116" s="86" t="str">
        <f t="shared" si="1"/>
        <v>https://maps.google.com/?q=32.420518,-98.751686</v>
      </c>
      <c r="G116" s="72">
        <v>131</v>
      </c>
      <c r="H116" s="70" t="s">
        <v>20</v>
      </c>
      <c r="I116" s="70" t="s">
        <v>343</v>
      </c>
      <c r="J116" s="70" t="s">
        <v>336</v>
      </c>
      <c r="K116" s="70" t="s">
        <v>446</v>
      </c>
    </row>
    <row r="117" spans="1:11" x14ac:dyDescent="0.25">
      <c r="A117" s="70" t="s">
        <v>137</v>
      </c>
      <c r="B117" s="70" t="s">
        <v>284</v>
      </c>
      <c r="C117" s="71">
        <v>32.663240000000002</v>
      </c>
      <c r="D117" s="71">
        <v>-98.880250000000004</v>
      </c>
      <c r="E117" s="70" t="s">
        <v>325</v>
      </c>
      <c r="F117" s="86" t="str">
        <f t="shared" si="1"/>
        <v>https://maps.google.com/?q=32.66324,-98.88025</v>
      </c>
      <c r="G117" s="72">
        <v>569</v>
      </c>
      <c r="H117" s="70" t="s">
        <v>20</v>
      </c>
      <c r="I117" s="70" t="s">
        <v>343</v>
      </c>
      <c r="J117" s="70" t="s">
        <v>336</v>
      </c>
      <c r="K117" s="70" t="s">
        <v>447</v>
      </c>
    </row>
    <row r="118" spans="1:11" x14ac:dyDescent="0.25">
      <c r="A118" s="70" t="s">
        <v>138</v>
      </c>
      <c r="B118" s="70" t="s">
        <v>285</v>
      </c>
      <c r="C118" s="71">
        <v>32.469700000000003</v>
      </c>
      <c r="D118" s="71">
        <v>-98.679400000000001</v>
      </c>
      <c r="E118" s="70" t="s">
        <v>325</v>
      </c>
      <c r="F118" s="86" t="str">
        <f t="shared" si="1"/>
        <v>https://maps.google.com/?q=32.4697,-98.6794</v>
      </c>
      <c r="G118" s="72">
        <v>130</v>
      </c>
      <c r="H118" s="70" t="s">
        <v>20</v>
      </c>
      <c r="I118" s="70" t="s">
        <v>343</v>
      </c>
      <c r="J118" s="70" t="s">
        <v>336</v>
      </c>
      <c r="K118" s="70" t="s">
        <v>448</v>
      </c>
    </row>
    <row r="119" spans="1:11" x14ac:dyDescent="0.25">
      <c r="A119" s="70" t="s">
        <v>139</v>
      </c>
      <c r="B119" s="70" t="s">
        <v>286</v>
      </c>
      <c r="C119" s="71">
        <v>34.096319999999999</v>
      </c>
      <c r="D119" s="71">
        <v>-98.630840000000006</v>
      </c>
      <c r="E119" s="70" t="s">
        <v>325</v>
      </c>
      <c r="F119" s="86" t="str">
        <f t="shared" si="1"/>
        <v>https://maps.google.com/?q=34.09632,-98.63084</v>
      </c>
      <c r="G119" s="72">
        <v>355</v>
      </c>
      <c r="H119" s="70" t="s">
        <v>20</v>
      </c>
      <c r="I119" s="70" t="s">
        <v>343</v>
      </c>
      <c r="J119" s="70" t="s">
        <v>336</v>
      </c>
      <c r="K119" s="70" t="s">
        <v>449</v>
      </c>
    </row>
    <row r="120" spans="1:11" x14ac:dyDescent="0.25">
      <c r="A120" s="70" t="s">
        <v>140</v>
      </c>
      <c r="B120" s="70" t="s">
        <v>287</v>
      </c>
      <c r="C120" s="71">
        <v>32.507939999999998</v>
      </c>
      <c r="D120" s="71">
        <v>-98.415809999999993</v>
      </c>
      <c r="E120" s="70" t="s">
        <v>325</v>
      </c>
      <c r="F120" s="86" t="str">
        <f t="shared" si="1"/>
        <v>https://maps.google.com/?q=32.50794,-98.41581</v>
      </c>
      <c r="G120" s="72">
        <v>2765</v>
      </c>
      <c r="H120" s="70" t="s">
        <v>20</v>
      </c>
      <c r="I120" s="70" t="s">
        <v>343</v>
      </c>
      <c r="J120" s="70" t="s">
        <v>336</v>
      </c>
      <c r="K120" s="70" t="s">
        <v>450</v>
      </c>
    </row>
    <row r="121" spans="1:11" x14ac:dyDescent="0.25">
      <c r="A121" s="70" t="s">
        <v>141</v>
      </c>
      <c r="B121" s="70" t="s">
        <v>288</v>
      </c>
      <c r="C121" s="71">
        <v>33.484990000000003</v>
      </c>
      <c r="D121" s="71">
        <v>-98.666640000000001</v>
      </c>
      <c r="E121" s="70" t="s">
        <v>325</v>
      </c>
      <c r="F121" s="86" t="str">
        <f t="shared" si="1"/>
        <v>https://maps.google.com/?q=33.48499,-98.66664</v>
      </c>
      <c r="G121" s="72">
        <v>267</v>
      </c>
      <c r="H121" s="70" t="s">
        <v>20</v>
      </c>
      <c r="I121" s="70" t="s">
        <v>343</v>
      </c>
      <c r="J121" s="70" t="s">
        <v>336</v>
      </c>
      <c r="K121" s="70" t="s">
        <v>451</v>
      </c>
    </row>
    <row r="122" spans="1:11" x14ac:dyDescent="0.25">
      <c r="A122" s="70" t="s">
        <v>142</v>
      </c>
      <c r="B122" s="70" t="s">
        <v>289</v>
      </c>
      <c r="C122" s="71">
        <v>35.672379999999997</v>
      </c>
      <c r="D122" s="71">
        <v>-101.38969</v>
      </c>
      <c r="E122" s="70" t="s">
        <v>325</v>
      </c>
      <c r="F122" s="86" t="str">
        <f t="shared" si="1"/>
        <v>https://maps.google.com/?q=35.67238,-101.38969</v>
      </c>
      <c r="G122" s="72">
        <v>3397</v>
      </c>
      <c r="H122" s="70" t="s">
        <v>20</v>
      </c>
      <c r="I122" s="70" t="s">
        <v>343</v>
      </c>
      <c r="J122" s="70" t="s">
        <v>337</v>
      </c>
      <c r="K122" s="70" t="s">
        <v>452</v>
      </c>
    </row>
    <row r="123" spans="1:11" x14ac:dyDescent="0.25">
      <c r="A123" s="70" t="s">
        <v>143</v>
      </c>
      <c r="B123" s="70" t="s">
        <v>290</v>
      </c>
      <c r="C123" s="71">
        <v>32.358010999999998</v>
      </c>
      <c r="D123" s="71">
        <v>-102.77413900000001</v>
      </c>
      <c r="E123" s="70" t="s">
        <v>325</v>
      </c>
      <c r="F123" s="86" t="str">
        <f t="shared" si="1"/>
        <v>https://maps.google.com/?q=32.358011,-102.774139</v>
      </c>
      <c r="G123" s="72">
        <v>2238</v>
      </c>
      <c r="H123" s="70" t="s">
        <v>20</v>
      </c>
      <c r="I123" s="70" t="s">
        <v>343</v>
      </c>
      <c r="J123" s="70" t="s">
        <v>338</v>
      </c>
      <c r="K123" s="70" t="s">
        <v>453</v>
      </c>
    </row>
    <row r="124" spans="1:11" x14ac:dyDescent="0.25">
      <c r="A124" s="70" t="s">
        <v>144</v>
      </c>
      <c r="B124" s="70" t="s">
        <v>291</v>
      </c>
      <c r="C124" s="71">
        <v>31.1493</v>
      </c>
      <c r="D124" s="71">
        <v>-102.23484999999999</v>
      </c>
      <c r="E124" s="70" t="s">
        <v>325</v>
      </c>
      <c r="F124" s="86" t="str">
        <f t="shared" si="1"/>
        <v>https://maps.google.com/?q=31.1493,-102.23485</v>
      </c>
      <c r="G124" s="72">
        <v>1779</v>
      </c>
      <c r="H124" s="70" t="s">
        <v>20</v>
      </c>
      <c r="I124" s="70" t="s">
        <v>343</v>
      </c>
      <c r="J124" s="70" t="s">
        <v>338</v>
      </c>
      <c r="K124" s="70" t="s">
        <v>454</v>
      </c>
    </row>
    <row r="125" spans="1:11" x14ac:dyDescent="0.25">
      <c r="A125" s="70" t="s">
        <v>145</v>
      </c>
      <c r="B125" s="70" t="s">
        <v>292</v>
      </c>
      <c r="C125" s="71">
        <v>31.1447</v>
      </c>
      <c r="D125" s="71">
        <v>-102.19732</v>
      </c>
      <c r="E125" s="70" t="s">
        <v>325</v>
      </c>
      <c r="F125" s="86" t="str">
        <f t="shared" si="1"/>
        <v>https://maps.google.com/?q=31.1447,-102.19732</v>
      </c>
      <c r="G125" s="72">
        <v>714</v>
      </c>
      <c r="H125" s="70" t="s">
        <v>20</v>
      </c>
      <c r="I125" s="70" t="s">
        <v>343</v>
      </c>
      <c r="J125" s="70" t="s">
        <v>338</v>
      </c>
      <c r="K125" s="70" t="s">
        <v>455</v>
      </c>
    </row>
    <row r="126" spans="1:11" x14ac:dyDescent="0.25">
      <c r="A126" s="70" t="s">
        <v>146</v>
      </c>
      <c r="B126" s="70" t="s">
        <v>293</v>
      </c>
      <c r="C126" s="71">
        <v>31.215250000000001</v>
      </c>
      <c r="D126" s="71">
        <v>-101.92512000000001</v>
      </c>
      <c r="E126" s="70" t="s">
        <v>325</v>
      </c>
      <c r="F126" s="86" t="str">
        <f t="shared" si="1"/>
        <v>https://maps.google.com/?q=31.21525,-101.92512</v>
      </c>
      <c r="G126" s="72">
        <v>542</v>
      </c>
      <c r="H126" s="70" t="s">
        <v>20</v>
      </c>
      <c r="I126" s="70" t="s">
        <v>343</v>
      </c>
      <c r="J126" s="70" t="s">
        <v>338</v>
      </c>
      <c r="K126" s="70" t="s">
        <v>456</v>
      </c>
    </row>
    <row r="127" spans="1:11" x14ac:dyDescent="0.25">
      <c r="A127" s="70" t="s">
        <v>147</v>
      </c>
      <c r="B127" s="70" t="s">
        <v>294</v>
      </c>
      <c r="C127" s="71">
        <v>31.836220999999998</v>
      </c>
      <c r="D127" s="71">
        <v>-100.98764300000001</v>
      </c>
      <c r="E127" s="70" t="s">
        <v>325</v>
      </c>
      <c r="F127" s="86" t="str">
        <f t="shared" si="1"/>
        <v>https://maps.google.com/?q=31.836221,-100.987643</v>
      </c>
      <c r="G127" s="72">
        <v>406</v>
      </c>
      <c r="H127" s="70" t="s">
        <v>20</v>
      </c>
      <c r="I127" s="70" t="s">
        <v>343</v>
      </c>
      <c r="J127" s="70" t="s">
        <v>338</v>
      </c>
      <c r="K127" s="70" t="s">
        <v>457</v>
      </c>
    </row>
    <row r="128" spans="1:11" x14ac:dyDescent="0.25">
      <c r="A128" s="70" t="s">
        <v>148</v>
      </c>
      <c r="B128" s="70" t="s">
        <v>295</v>
      </c>
      <c r="C128" s="71">
        <v>31.980661000000001</v>
      </c>
      <c r="D128" s="71">
        <v>-102.616488</v>
      </c>
      <c r="E128" s="70" t="s">
        <v>325</v>
      </c>
      <c r="F128" s="86" t="str">
        <f t="shared" si="1"/>
        <v>https://maps.google.com/?q=31.980661,-102.616488</v>
      </c>
      <c r="G128" s="72">
        <v>1020</v>
      </c>
      <c r="H128" s="70" t="s">
        <v>20</v>
      </c>
      <c r="I128" s="70" t="s">
        <v>343</v>
      </c>
      <c r="J128" s="70" t="s">
        <v>338</v>
      </c>
      <c r="K128" s="70" t="s">
        <v>458</v>
      </c>
    </row>
    <row r="129" spans="1:11" x14ac:dyDescent="0.25">
      <c r="A129" s="70" t="s">
        <v>149</v>
      </c>
      <c r="B129" s="70" t="s">
        <v>296</v>
      </c>
      <c r="C129" s="71">
        <v>28.460896000000002</v>
      </c>
      <c r="D129" s="71">
        <v>-98.549691999999993</v>
      </c>
      <c r="E129" s="70" t="s">
        <v>325</v>
      </c>
      <c r="F129" s="86" t="str">
        <f t="shared" si="1"/>
        <v>https://maps.google.com/?q=28.460896,-98.549692</v>
      </c>
      <c r="G129" s="72">
        <v>1879</v>
      </c>
      <c r="H129" s="70" t="s">
        <v>20</v>
      </c>
      <c r="I129" s="70" t="s">
        <v>343</v>
      </c>
      <c r="J129" s="70" t="s">
        <v>340</v>
      </c>
      <c r="K129" s="70" t="s">
        <v>459</v>
      </c>
    </row>
    <row r="130" spans="1:11" x14ac:dyDescent="0.25">
      <c r="A130" s="70" t="s">
        <v>150</v>
      </c>
      <c r="B130" s="70" t="s">
        <v>297</v>
      </c>
      <c r="C130" s="71">
        <v>32.377290000000002</v>
      </c>
      <c r="D130" s="71">
        <v>-94.869309999999999</v>
      </c>
      <c r="E130" s="70" t="s">
        <v>325</v>
      </c>
      <c r="F130" s="86" t="str">
        <f t="shared" si="1"/>
        <v>https://maps.google.com/?q=32.37729,-94.86931</v>
      </c>
      <c r="G130" s="72">
        <v>1036</v>
      </c>
      <c r="H130" s="70" t="s">
        <v>12</v>
      </c>
      <c r="I130" s="70" t="s">
        <v>344</v>
      </c>
      <c r="J130" s="70" t="s">
        <v>334</v>
      </c>
      <c r="K130" s="70" t="s">
        <v>460</v>
      </c>
    </row>
    <row r="131" spans="1:11" x14ac:dyDescent="0.25">
      <c r="A131" s="70" t="s">
        <v>151</v>
      </c>
      <c r="B131" s="70" t="s">
        <v>298</v>
      </c>
      <c r="C131" s="71">
        <v>32.390839999999997</v>
      </c>
      <c r="D131" s="71">
        <v>-94.865219999999994</v>
      </c>
      <c r="E131" s="70" t="s">
        <v>325</v>
      </c>
      <c r="F131" s="86" t="str">
        <f t="shared" si="1"/>
        <v>https://maps.google.com/?q=32.39084,-94.86522</v>
      </c>
      <c r="G131" s="72">
        <v>748</v>
      </c>
      <c r="H131" s="70" t="s">
        <v>12</v>
      </c>
      <c r="I131" s="70" t="s">
        <v>344</v>
      </c>
      <c r="J131" s="70" t="s">
        <v>334</v>
      </c>
      <c r="K131" s="70" t="s">
        <v>461</v>
      </c>
    </row>
    <row r="132" spans="1:11" x14ac:dyDescent="0.25">
      <c r="A132" s="70" t="s">
        <v>152</v>
      </c>
      <c r="B132" s="70" t="s">
        <v>299</v>
      </c>
      <c r="C132" s="71">
        <v>32.387355999999997</v>
      </c>
      <c r="D132" s="71">
        <v>-94.875470000000007</v>
      </c>
      <c r="E132" s="70" t="s">
        <v>329</v>
      </c>
      <c r="F132" s="86" t="str">
        <f t="shared" si="1"/>
        <v>https://maps.google.com/?q=32.387356,-94.87547</v>
      </c>
      <c r="G132" s="72">
        <v>847</v>
      </c>
      <c r="H132" s="70" t="s">
        <v>12</v>
      </c>
      <c r="I132" s="70" t="s">
        <v>344</v>
      </c>
      <c r="J132" s="70" t="s">
        <v>334</v>
      </c>
      <c r="K132" s="70" t="s">
        <v>462</v>
      </c>
    </row>
    <row r="133" spans="1:11" x14ac:dyDescent="0.25">
      <c r="A133" s="70" t="s">
        <v>153</v>
      </c>
      <c r="B133" s="70" t="s">
        <v>300</v>
      </c>
      <c r="C133" s="71">
        <v>32.089530000000003</v>
      </c>
      <c r="D133" s="71">
        <v>-96.464110000000005</v>
      </c>
      <c r="E133" s="70" t="s">
        <v>325</v>
      </c>
      <c r="F133" s="86" t="str">
        <f t="shared" si="1"/>
        <v>https://maps.google.com/?q=32.08953,-96.46411</v>
      </c>
      <c r="G133" s="72">
        <v>913</v>
      </c>
      <c r="H133" s="70" t="s">
        <v>12</v>
      </c>
      <c r="I133" s="70" t="s">
        <v>344</v>
      </c>
      <c r="J133" s="70" t="s">
        <v>334</v>
      </c>
      <c r="K133" s="70" t="s">
        <v>463</v>
      </c>
    </row>
    <row r="134" spans="1:11" x14ac:dyDescent="0.25">
      <c r="A134" s="70" t="s">
        <v>154</v>
      </c>
      <c r="B134" s="70" t="s">
        <v>301</v>
      </c>
      <c r="C134" s="71">
        <v>32.386859999999999</v>
      </c>
      <c r="D134" s="71">
        <v>-94.876170000000002</v>
      </c>
      <c r="E134" s="70" t="s">
        <v>325</v>
      </c>
      <c r="F134" s="86" t="str">
        <f t="shared" si="1"/>
        <v>https://maps.google.com/?q=32.38686,-94.87617</v>
      </c>
      <c r="G134" s="72">
        <v>748</v>
      </c>
      <c r="H134" s="70" t="s">
        <v>12</v>
      </c>
      <c r="I134" s="70" t="s">
        <v>344</v>
      </c>
      <c r="J134" s="70" t="s">
        <v>334</v>
      </c>
      <c r="K134" s="70" t="s">
        <v>464</v>
      </c>
    </row>
    <row r="135" spans="1:11" x14ac:dyDescent="0.25">
      <c r="A135" s="70" t="s">
        <v>155</v>
      </c>
      <c r="B135" s="70" t="s">
        <v>302</v>
      </c>
      <c r="C135" s="71">
        <v>32.43723</v>
      </c>
      <c r="D135" s="71">
        <v>-95.097930000000005</v>
      </c>
      <c r="E135" s="70" t="s">
        <v>325</v>
      </c>
      <c r="F135" s="86" t="str">
        <f t="shared" si="1"/>
        <v>https://maps.google.com/?q=32.43723,-95.09793</v>
      </c>
      <c r="G135" s="72">
        <v>2407</v>
      </c>
      <c r="H135" s="70" t="s">
        <v>12</v>
      </c>
      <c r="I135" s="70" t="s">
        <v>344</v>
      </c>
      <c r="J135" s="70" t="s">
        <v>334</v>
      </c>
      <c r="K135" s="70" t="s">
        <v>465</v>
      </c>
    </row>
    <row r="136" spans="1:11" x14ac:dyDescent="0.25">
      <c r="A136" s="70" t="s">
        <v>156</v>
      </c>
      <c r="B136" s="70" t="s">
        <v>303</v>
      </c>
      <c r="C136" s="71">
        <v>32.178449999999998</v>
      </c>
      <c r="D136" s="71">
        <v>-94.922529999999995</v>
      </c>
      <c r="E136" s="70" t="s">
        <v>325</v>
      </c>
      <c r="F136" s="86" t="str">
        <f t="shared" si="1"/>
        <v>https://maps.google.com/?q=32.17845,-94.92253</v>
      </c>
      <c r="G136" s="72">
        <v>1494</v>
      </c>
      <c r="H136" s="70" t="s">
        <v>12</v>
      </c>
      <c r="I136" s="70" t="s">
        <v>344</v>
      </c>
      <c r="J136" s="70" t="s">
        <v>334</v>
      </c>
      <c r="K136" s="70" t="s">
        <v>466</v>
      </c>
    </row>
    <row r="137" spans="1:11" x14ac:dyDescent="0.25">
      <c r="A137" s="70" t="s">
        <v>157</v>
      </c>
      <c r="B137" s="70" t="s">
        <v>304</v>
      </c>
      <c r="C137" s="71">
        <v>29.406020000000002</v>
      </c>
      <c r="D137" s="71">
        <v>-96.241110000000006</v>
      </c>
      <c r="E137" s="70" t="s">
        <v>325</v>
      </c>
      <c r="F137" s="86" t="str">
        <f t="shared" si="1"/>
        <v>https://maps.google.com/?q=29.40602,-96.24111</v>
      </c>
      <c r="G137" s="72">
        <v>3251</v>
      </c>
      <c r="H137" s="70" t="s">
        <v>12</v>
      </c>
      <c r="I137" s="70" t="s">
        <v>344</v>
      </c>
      <c r="J137" s="70" t="s">
        <v>335</v>
      </c>
      <c r="K137" s="70" t="s">
        <v>467</v>
      </c>
    </row>
    <row r="138" spans="1:11" x14ac:dyDescent="0.25">
      <c r="A138" s="70" t="s">
        <v>158</v>
      </c>
      <c r="B138" s="70" t="s">
        <v>305</v>
      </c>
      <c r="C138" s="71">
        <v>29.365183999999999</v>
      </c>
      <c r="D138" s="71">
        <v>-94.814775999999995</v>
      </c>
      <c r="E138" s="70" t="s">
        <v>325</v>
      </c>
      <c r="F138" s="86" t="str">
        <f t="shared" si="1"/>
        <v>https://maps.google.com/?q=29.365184,-94.814776</v>
      </c>
      <c r="G138" s="72">
        <v>3152</v>
      </c>
      <c r="H138" s="70" t="s">
        <v>12</v>
      </c>
      <c r="I138" s="70" t="s">
        <v>344</v>
      </c>
      <c r="J138" s="70" t="s">
        <v>335</v>
      </c>
      <c r="K138" s="70" t="s">
        <v>468</v>
      </c>
    </row>
    <row r="139" spans="1:11" x14ac:dyDescent="0.25">
      <c r="A139" s="70" t="s">
        <v>159</v>
      </c>
      <c r="B139" s="70" t="s">
        <v>306</v>
      </c>
      <c r="C139" s="71">
        <v>29.71283</v>
      </c>
      <c r="D139" s="71">
        <v>-94.994420000000005</v>
      </c>
      <c r="E139" s="70" t="s">
        <v>325</v>
      </c>
      <c r="F139" s="86" t="str">
        <f t="shared" si="1"/>
        <v>https://maps.google.com/?q=29.71283,-94.99442</v>
      </c>
      <c r="G139" s="72">
        <v>1195</v>
      </c>
      <c r="H139" s="70" t="s">
        <v>12</v>
      </c>
      <c r="I139" s="70" t="s">
        <v>344</v>
      </c>
      <c r="J139" s="70" t="s">
        <v>335</v>
      </c>
      <c r="K139" s="70" t="s">
        <v>469</v>
      </c>
    </row>
    <row r="140" spans="1:11" x14ac:dyDescent="0.25">
      <c r="A140" s="70" t="s">
        <v>160</v>
      </c>
      <c r="B140" s="70" t="s">
        <v>307</v>
      </c>
      <c r="C140" s="71">
        <v>29.99954</v>
      </c>
      <c r="D140" s="71">
        <v>-95.268150000000006</v>
      </c>
      <c r="E140" s="70" t="s">
        <v>325</v>
      </c>
      <c r="F140" s="86" t="str">
        <f t="shared" si="1"/>
        <v>https://maps.google.com/?q=29.99954,-95.26815</v>
      </c>
      <c r="G140" s="72">
        <v>986</v>
      </c>
      <c r="H140" s="70" t="s">
        <v>12</v>
      </c>
      <c r="I140" s="70" t="s">
        <v>344</v>
      </c>
      <c r="J140" s="70" t="s">
        <v>335</v>
      </c>
      <c r="K140" s="70" t="s">
        <v>470</v>
      </c>
    </row>
    <row r="141" spans="1:11" x14ac:dyDescent="0.25">
      <c r="A141" s="70" t="s">
        <v>161</v>
      </c>
      <c r="B141" s="70" t="s">
        <v>308</v>
      </c>
      <c r="C141" s="71">
        <v>30.09685</v>
      </c>
      <c r="D141" s="71">
        <v>-95.614369999999994</v>
      </c>
      <c r="E141" s="70" t="s">
        <v>325</v>
      </c>
      <c r="F141" s="86" t="str">
        <f t="shared" si="1"/>
        <v>https://maps.google.com/?q=30.09685,-95.61437</v>
      </c>
      <c r="G141" s="72">
        <v>2688</v>
      </c>
      <c r="H141" s="70" t="s">
        <v>12</v>
      </c>
      <c r="I141" s="70" t="s">
        <v>344</v>
      </c>
      <c r="J141" s="70" t="s">
        <v>335</v>
      </c>
      <c r="K141" s="70" t="s">
        <v>471</v>
      </c>
    </row>
    <row r="142" spans="1:11" x14ac:dyDescent="0.25">
      <c r="A142" s="70" t="s">
        <v>162</v>
      </c>
      <c r="B142" s="70" t="s">
        <v>309</v>
      </c>
      <c r="C142" s="71">
        <v>32.401147000000002</v>
      </c>
      <c r="D142" s="71">
        <v>-98.818100000000001</v>
      </c>
      <c r="E142" s="70" t="s">
        <v>332</v>
      </c>
      <c r="F142" s="86" t="str">
        <f t="shared" ref="F142:F157" si="2">HYPERLINK("https://maps.google.com/?q="&amp;C142&amp;","&amp;D142)</f>
        <v>https://maps.google.com/?q=32.401147,-98.8181</v>
      </c>
      <c r="G142" s="72">
        <v>748</v>
      </c>
      <c r="H142" s="70" t="s">
        <v>12</v>
      </c>
      <c r="I142" s="70" t="s">
        <v>344</v>
      </c>
      <c r="J142" s="70" t="s">
        <v>336</v>
      </c>
      <c r="K142" s="70" t="s">
        <v>472</v>
      </c>
    </row>
    <row r="143" spans="1:11" x14ac:dyDescent="0.25">
      <c r="A143" s="70" t="s">
        <v>163</v>
      </c>
      <c r="B143" s="70" t="s">
        <v>310</v>
      </c>
      <c r="C143" s="71">
        <v>34.025635999999999</v>
      </c>
      <c r="D143" s="71">
        <v>-98.909918000000005</v>
      </c>
      <c r="E143" s="70" t="s">
        <v>325</v>
      </c>
      <c r="F143" s="86" t="str">
        <f t="shared" si="2"/>
        <v>https://maps.google.com/?q=34.025636,-98.909918</v>
      </c>
      <c r="G143" s="72">
        <v>1890</v>
      </c>
      <c r="H143" s="70" t="s">
        <v>12</v>
      </c>
      <c r="I143" s="70" t="s">
        <v>344</v>
      </c>
      <c r="J143" s="70" t="s">
        <v>336</v>
      </c>
      <c r="K143" s="70" t="s">
        <v>473</v>
      </c>
    </row>
    <row r="144" spans="1:11" x14ac:dyDescent="0.25">
      <c r="A144" s="70" t="s">
        <v>164</v>
      </c>
      <c r="B144" s="70" t="s">
        <v>311</v>
      </c>
      <c r="C144" s="71">
        <v>34.102179999999997</v>
      </c>
      <c r="D144" s="71">
        <v>-98.544600000000003</v>
      </c>
      <c r="E144" s="70" t="s">
        <v>325</v>
      </c>
      <c r="F144" s="86" t="str">
        <f t="shared" si="2"/>
        <v>https://maps.google.com/?q=34.10218,-98.5446</v>
      </c>
      <c r="G144" s="72">
        <v>1195</v>
      </c>
      <c r="H144" s="70" t="s">
        <v>12</v>
      </c>
      <c r="I144" s="70" t="s">
        <v>344</v>
      </c>
      <c r="J144" s="70" t="s">
        <v>336</v>
      </c>
      <c r="K144" s="70" t="s">
        <v>474</v>
      </c>
    </row>
    <row r="145" spans="1:11" x14ac:dyDescent="0.25">
      <c r="A145" s="70" t="s">
        <v>165</v>
      </c>
      <c r="B145" s="70" t="s">
        <v>312</v>
      </c>
      <c r="C145" s="71">
        <v>32.766350000000003</v>
      </c>
      <c r="D145" s="71">
        <v>-98.29862</v>
      </c>
      <c r="E145" s="70" t="s">
        <v>325</v>
      </c>
      <c r="F145" s="86" t="str">
        <f t="shared" si="2"/>
        <v>https://maps.google.com/?q=32.76635,-98.29862</v>
      </c>
      <c r="G145" s="72">
        <v>1594</v>
      </c>
      <c r="H145" s="70" t="s">
        <v>12</v>
      </c>
      <c r="I145" s="70" t="s">
        <v>344</v>
      </c>
      <c r="J145" s="70" t="s">
        <v>336</v>
      </c>
      <c r="K145" s="70" t="s">
        <v>475</v>
      </c>
    </row>
    <row r="146" spans="1:11" x14ac:dyDescent="0.25">
      <c r="A146" s="70" t="s">
        <v>166</v>
      </c>
      <c r="B146" s="70" t="s">
        <v>313</v>
      </c>
      <c r="C146" s="71">
        <v>33.91377</v>
      </c>
      <c r="D146" s="71">
        <v>-98.491519999999994</v>
      </c>
      <c r="E146" s="70" t="s">
        <v>325</v>
      </c>
      <c r="F146" s="86" t="str">
        <f t="shared" si="2"/>
        <v>https://maps.google.com/?q=33.91377,-98.49152</v>
      </c>
      <c r="G146" s="72">
        <v>1191</v>
      </c>
      <c r="H146" s="70" t="s">
        <v>12</v>
      </c>
      <c r="I146" s="70" t="s">
        <v>344</v>
      </c>
      <c r="J146" s="70" t="s">
        <v>336</v>
      </c>
      <c r="K146" s="70" t="s">
        <v>476</v>
      </c>
    </row>
    <row r="147" spans="1:11" x14ac:dyDescent="0.25">
      <c r="A147" s="70" t="s">
        <v>167</v>
      </c>
      <c r="B147" s="70" t="s">
        <v>314</v>
      </c>
      <c r="C147" s="71">
        <v>31.740690000000001</v>
      </c>
      <c r="D147" s="71">
        <v>-98.948252999999994</v>
      </c>
      <c r="E147" s="70" t="s">
        <v>325</v>
      </c>
      <c r="F147" s="86" t="str">
        <f t="shared" si="2"/>
        <v>https://maps.google.com/?q=31.74069,-98.948253</v>
      </c>
      <c r="G147" s="72">
        <v>1257</v>
      </c>
      <c r="H147" s="70" t="s">
        <v>12</v>
      </c>
      <c r="I147" s="70" t="s">
        <v>344</v>
      </c>
      <c r="J147" s="70" t="s">
        <v>336</v>
      </c>
      <c r="K147" s="70" t="s">
        <v>477</v>
      </c>
    </row>
    <row r="148" spans="1:11" x14ac:dyDescent="0.25">
      <c r="A148" s="70" t="s">
        <v>168</v>
      </c>
      <c r="B148" s="70" t="s">
        <v>315</v>
      </c>
      <c r="C148" s="71">
        <v>33.648780000000002</v>
      </c>
      <c r="D148" s="71">
        <v>-97.307289999999995</v>
      </c>
      <c r="E148" s="70" t="s">
        <v>325</v>
      </c>
      <c r="F148" s="86" t="str">
        <f t="shared" si="2"/>
        <v>https://maps.google.com/?q=33.64878,-97.30729</v>
      </c>
      <c r="G148" s="72">
        <v>830</v>
      </c>
      <c r="H148" s="70" t="s">
        <v>12</v>
      </c>
      <c r="I148" s="70" t="s">
        <v>344</v>
      </c>
      <c r="J148" s="70" t="s">
        <v>336</v>
      </c>
      <c r="K148" s="70" t="s">
        <v>478</v>
      </c>
    </row>
    <row r="149" spans="1:11" x14ac:dyDescent="0.25">
      <c r="A149" s="70" t="s">
        <v>169</v>
      </c>
      <c r="B149" s="70" t="s">
        <v>316</v>
      </c>
      <c r="C149" s="71">
        <v>33.371175999999998</v>
      </c>
      <c r="D149" s="71">
        <v>-98.754367999999999</v>
      </c>
      <c r="E149" s="70" t="s">
        <v>325</v>
      </c>
      <c r="F149" s="86" t="str">
        <f t="shared" si="2"/>
        <v>https://maps.google.com/?q=33.371176,-98.754368</v>
      </c>
      <c r="G149" s="72">
        <v>1792</v>
      </c>
      <c r="H149" s="70" t="s">
        <v>12</v>
      </c>
      <c r="I149" s="70" t="s">
        <v>344</v>
      </c>
      <c r="J149" s="70" t="s">
        <v>336</v>
      </c>
      <c r="K149" s="70" t="s">
        <v>479</v>
      </c>
    </row>
    <row r="150" spans="1:11" x14ac:dyDescent="0.25">
      <c r="A150" s="70" t="s">
        <v>170</v>
      </c>
      <c r="B150" s="70" t="s">
        <v>317</v>
      </c>
      <c r="C150" s="71">
        <v>32.470120000000001</v>
      </c>
      <c r="D150" s="71">
        <v>-98.679190000000006</v>
      </c>
      <c r="E150" s="70" t="s">
        <v>325</v>
      </c>
      <c r="F150" s="86" t="str">
        <f t="shared" si="2"/>
        <v>https://maps.google.com/?q=32.47012,-98.67919</v>
      </c>
      <c r="G150" s="72">
        <v>748</v>
      </c>
      <c r="H150" s="70" t="s">
        <v>12</v>
      </c>
      <c r="I150" s="70" t="s">
        <v>344</v>
      </c>
      <c r="J150" s="70" t="s">
        <v>336</v>
      </c>
      <c r="K150" s="70" t="s">
        <v>480</v>
      </c>
    </row>
    <row r="151" spans="1:11" x14ac:dyDescent="0.25">
      <c r="A151" s="70" t="s">
        <v>171</v>
      </c>
      <c r="B151" s="70" t="s">
        <v>318</v>
      </c>
      <c r="C151" s="71">
        <v>34.011989999999997</v>
      </c>
      <c r="D151" s="71">
        <v>-100.82814</v>
      </c>
      <c r="E151" s="70" t="s">
        <v>325</v>
      </c>
      <c r="F151" s="86" t="str">
        <f t="shared" si="2"/>
        <v>https://maps.google.com/?q=34.01199,-100.82814</v>
      </c>
      <c r="G151" s="72">
        <v>1494</v>
      </c>
      <c r="H151" s="70" t="s">
        <v>12</v>
      </c>
      <c r="I151" s="70" t="s">
        <v>344</v>
      </c>
      <c r="J151" s="70" t="s">
        <v>337</v>
      </c>
      <c r="K151" s="70" t="s">
        <v>481</v>
      </c>
    </row>
    <row r="152" spans="1:11" x14ac:dyDescent="0.25">
      <c r="A152" s="70" t="s">
        <v>172</v>
      </c>
      <c r="B152" s="70" t="s">
        <v>319</v>
      </c>
      <c r="C152" s="71">
        <v>30.917137</v>
      </c>
      <c r="D152" s="71">
        <v>-101.908407</v>
      </c>
      <c r="E152" s="70" t="s">
        <v>325</v>
      </c>
      <c r="F152" s="86" t="str">
        <f t="shared" si="2"/>
        <v>https://maps.google.com/?q=30.917137,-101.908407</v>
      </c>
      <c r="G152" s="72">
        <v>1991</v>
      </c>
      <c r="H152" s="70" t="s">
        <v>12</v>
      </c>
      <c r="I152" s="70" t="s">
        <v>344</v>
      </c>
      <c r="J152" s="70" t="s">
        <v>338</v>
      </c>
      <c r="K152" s="70" t="s">
        <v>482</v>
      </c>
    </row>
    <row r="153" spans="1:11" x14ac:dyDescent="0.25">
      <c r="A153" s="70" t="s">
        <v>173</v>
      </c>
      <c r="B153" s="70" t="s">
        <v>320</v>
      </c>
      <c r="C153" s="71">
        <v>32.015825</v>
      </c>
      <c r="D153" s="71">
        <v>-102.00130299999999</v>
      </c>
      <c r="E153" s="70" t="s">
        <v>325</v>
      </c>
      <c r="F153" s="86" t="str">
        <f t="shared" si="2"/>
        <v>https://maps.google.com/?q=32.015825,-102.001303</v>
      </c>
      <c r="G153" s="72">
        <v>1162</v>
      </c>
      <c r="H153" s="70" t="s">
        <v>12</v>
      </c>
      <c r="I153" s="70" t="s">
        <v>344</v>
      </c>
      <c r="J153" s="70" t="s">
        <v>338</v>
      </c>
      <c r="K153" s="70" t="s">
        <v>483</v>
      </c>
    </row>
    <row r="154" spans="1:11" x14ac:dyDescent="0.25">
      <c r="A154" s="70" t="s">
        <v>174</v>
      </c>
      <c r="B154" s="70" t="s">
        <v>321</v>
      </c>
      <c r="C154" s="71">
        <v>30.139620000000001</v>
      </c>
      <c r="D154" s="71">
        <v>-94.413619999999995</v>
      </c>
      <c r="E154" s="70" t="s">
        <v>325</v>
      </c>
      <c r="F154" s="86" t="str">
        <f t="shared" si="2"/>
        <v>https://maps.google.com/?q=30.13962,-94.41362</v>
      </c>
      <c r="G154" s="72">
        <v>1494</v>
      </c>
      <c r="H154" s="70" t="s">
        <v>12</v>
      </c>
      <c r="I154" s="70" t="s">
        <v>344</v>
      </c>
      <c r="J154" s="70" t="s">
        <v>339</v>
      </c>
      <c r="K154" s="70" t="s">
        <v>484</v>
      </c>
    </row>
    <row r="155" spans="1:11" x14ac:dyDescent="0.25">
      <c r="A155" s="70" t="s">
        <v>175</v>
      </c>
      <c r="B155" s="70" t="s">
        <v>322</v>
      </c>
      <c r="C155" s="71">
        <v>27.848088000000001</v>
      </c>
      <c r="D155" s="71">
        <v>-97.226922000000002</v>
      </c>
      <c r="E155" s="70" t="s">
        <v>325</v>
      </c>
      <c r="F155" s="86" t="str">
        <f t="shared" si="2"/>
        <v>https://maps.google.com/?q=27.848088,-97.226922</v>
      </c>
      <c r="G155" s="72">
        <v>3019</v>
      </c>
      <c r="H155" s="70" t="s">
        <v>12</v>
      </c>
      <c r="I155" s="70" t="s">
        <v>344</v>
      </c>
      <c r="J155" s="70" t="s">
        <v>340</v>
      </c>
      <c r="K155" s="70" t="s">
        <v>485</v>
      </c>
    </row>
    <row r="156" spans="1:11" x14ac:dyDescent="0.25">
      <c r="A156" s="70" t="s">
        <v>176</v>
      </c>
      <c r="B156" s="70" t="s">
        <v>323</v>
      </c>
      <c r="C156" s="71">
        <v>29.683450000000001</v>
      </c>
      <c r="D156" s="71">
        <v>-97.646960000000007</v>
      </c>
      <c r="E156" s="70" t="s">
        <v>325</v>
      </c>
      <c r="F156" s="86" t="str">
        <f t="shared" si="2"/>
        <v>https://maps.google.com/?q=29.68345,-97.64696</v>
      </c>
      <c r="G156" s="72">
        <v>516</v>
      </c>
      <c r="H156" s="70" t="s">
        <v>12</v>
      </c>
      <c r="I156" s="70" t="s">
        <v>344</v>
      </c>
      <c r="J156" s="70" t="s">
        <v>340</v>
      </c>
      <c r="K156" s="70" t="s">
        <v>486</v>
      </c>
    </row>
    <row r="157" spans="1:11" x14ac:dyDescent="0.25">
      <c r="A157" s="70" t="s">
        <v>177</v>
      </c>
      <c r="B157" s="70" t="s">
        <v>324</v>
      </c>
      <c r="C157" s="71">
        <v>30.032474000000001</v>
      </c>
      <c r="D157" s="71">
        <v>-94.078575999999998</v>
      </c>
      <c r="E157" s="70" t="s">
        <v>325</v>
      </c>
      <c r="F157" s="86" t="str">
        <f t="shared" si="2"/>
        <v>https://maps.google.com/?q=30.032474,-94.078576</v>
      </c>
      <c r="G157" s="72">
        <v>1494</v>
      </c>
      <c r="H157" s="70" t="s">
        <v>12</v>
      </c>
      <c r="I157" s="70" t="s">
        <v>344</v>
      </c>
      <c r="J157" s="70" t="s">
        <v>341</v>
      </c>
      <c r="K157" s="70" t="s">
        <v>487</v>
      </c>
    </row>
    <row r="158" spans="1:11" x14ac:dyDescent="0.25">
      <c r="F158" s="86"/>
    </row>
    <row r="159" spans="1:11" ht="24" x14ac:dyDescent="0.3">
      <c r="A159" s="81" t="s">
        <v>818</v>
      </c>
      <c r="F159" s="86"/>
      <c r="G159" s="87" t="s">
        <v>819</v>
      </c>
    </row>
    <row r="160" spans="1:11" ht="15.75" thickBot="1" x14ac:dyDescent="0.3">
      <c r="A160" s="70" t="s">
        <v>178</v>
      </c>
      <c r="B160" s="70" t="s">
        <v>488</v>
      </c>
      <c r="E160" s="70" t="s">
        <v>490</v>
      </c>
      <c r="G160" s="72">
        <v>2</v>
      </c>
    </row>
    <row r="161" spans="1:10" ht="15.75" thickBot="1" x14ac:dyDescent="0.3">
      <c r="A161" s="70" t="s">
        <v>179</v>
      </c>
      <c r="B161" s="70" t="s">
        <v>489</v>
      </c>
      <c r="E161" s="70" t="s">
        <v>491</v>
      </c>
      <c r="G161" s="72">
        <v>2</v>
      </c>
      <c r="H161" s="90" t="s">
        <v>1143</v>
      </c>
      <c r="I161" s="91"/>
      <c r="J161" s="92"/>
    </row>
    <row r="164" spans="1:10" ht="18.75" x14ac:dyDescent="0.3">
      <c r="A164" s="81" t="s">
        <v>492</v>
      </c>
    </row>
    <row r="165" spans="1:10" ht="23.25" x14ac:dyDescent="0.25">
      <c r="A165" s="70" t="s">
        <v>815</v>
      </c>
      <c r="B165" s="70" t="s">
        <v>816</v>
      </c>
      <c r="C165" s="70" t="s">
        <v>1</v>
      </c>
      <c r="D165" s="70" t="s">
        <v>2</v>
      </c>
      <c r="E165" s="70" t="s">
        <v>495</v>
      </c>
      <c r="F165" s="70" t="s">
        <v>11</v>
      </c>
      <c r="G165" s="87" t="s">
        <v>817</v>
      </c>
      <c r="H165" s="71" t="s">
        <v>493</v>
      </c>
      <c r="I165" s="71" t="s">
        <v>494</v>
      </c>
    </row>
    <row r="166" spans="1:10" x14ac:dyDescent="0.25">
      <c r="A166" s="70" t="s">
        <v>496</v>
      </c>
      <c r="B166" s="70" t="s">
        <v>497</v>
      </c>
      <c r="C166" s="71">
        <v>27.762435</v>
      </c>
      <c r="D166" s="71">
        <v>-98.048445999999998</v>
      </c>
      <c r="E166" s="70" t="s">
        <v>500</v>
      </c>
      <c r="F166" s="86" t="str">
        <f>HYPERLINK("https://maps.google.com/?q="&amp;C166&amp;","&amp;D166)</f>
        <v>https://maps.google.com/?q=27.762435,-98.048446</v>
      </c>
      <c r="G166" s="72">
        <v>0</v>
      </c>
      <c r="H166" s="71" t="s">
        <v>498</v>
      </c>
      <c r="I166" s="71" t="s">
        <v>499</v>
      </c>
    </row>
    <row r="167" spans="1:10" x14ac:dyDescent="0.25">
      <c r="A167" s="70" t="s">
        <v>501</v>
      </c>
      <c r="B167" s="70" t="s">
        <v>502</v>
      </c>
      <c r="C167" s="71">
        <v>31.755181</v>
      </c>
      <c r="D167" s="71">
        <v>-96.649413999999993</v>
      </c>
      <c r="E167" s="70" t="s">
        <v>505</v>
      </c>
      <c r="F167" s="86" t="str">
        <f t="shared" ref="F167:F229" si="3">HYPERLINK("https://maps.google.com/?q="&amp;C167&amp;","&amp;D167)</f>
        <v>https://maps.google.com/?q=31.755181,-96.649414</v>
      </c>
      <c r="G167" s="72">
        <v>4000</v>
      </c>
      <c r="H167" s="71" t="s">
        <v>503</v>
      </c>
      <c r="I167" s="71" t="s">
        <v>504</v>
      </c>
    </row>
    <row r="168" spans="1:10" x14ac:dyDescent="0.25">
      <c r="A168" s="70" t="s">
        <v>506</v>
      </c>
      <c r="B168" s="70" t="s">
        <v>507</v>
      </c>
      <c r="C168" s="71">
        <v>33.315809999999999</v>
      </c>
      <c r="D168" s="71">
        <v>-99.855283</v>
      </c>
      <c r="E168" s="70" t="s">
        <v>510</v>
      </c>
      <c r="F168" s="86" t="str">
        <f t="shared" si="3"/>
        <v>https://maps.google.com/?q=33.31581,-99.855283</v>
      </c>
      <c r="G168" s="72">
        <v>4000</v>
      </c>
      <c r="H168" s="71" t="s">
        <v>508</v>
      </c>
      <c r="I168" s="71" t="s">
        <v>509</v>
      </c>
    </row>
    <row r="169" spans="1:10" x14ac:dyDescent="0.25">
      <c r="A169" s="70" t="s">
        <v>511</v>
      </c>
      <c r="B169" s="70" t="s">
        <v>512</v>
      </c>
      <c r="C169" s="71">
        <v>31.530456000000001</v>
      </c>
      <c r="D169" s="71">
        <v>-94.110438000000002</v>
      </c>
      <c r="E169" s="70" t="s">
        <v>515</v>
      </c>
      <c r="F169" s="86" t="str">
        <f t="shared" si="3"/>
        <v>https://maps.google.com/?q=31.530456,-94.110438</v>
      </c>
      <c r="G169" s="72">
        <v>4000</v>
      </c>
      <c r="H169" s="71" t="s">
        <v>513</v>
      </c>
      <c r="I169" s="71" t="s">
        <v>514</v>
      </c>
    </row>
    <row r="170" spans="1:10" x14ac:dyDescent="0.25">
      <c r="A170" s="70" t="s">
        <v>516</v>
      </c>
      <c r="B170" s="70" t="s">
        <v>517</v>
      </c>
      <c r="C170" s="71">
        <v>31.926045999999999</v>
      </c>
      <c r="D170" s="71">
        <v>-97.290402</v>
      </c>
      <c r="E170" s="70" t="s">
        <v>520</v>
      </c>
      <c r="F170" s="86" t="str">
        <f t="shared" si="3"/>
        <v>https://maps.google.com/?q=31.926046,-97.290402</v>
      </c>
      <c r="G170" s="72">
        <v>0</v>
      </c>
      <c r="H170" s="71" t="s">
        <v>518</v>
      </c>
      <c r="I170" s="71" t="s">
        <v>519</v>
      </c>
    </row>
    <row r="171" spans="1:10" x14ac:dyDescent="0.25">
      <c r="A171" s="70" t="s">
        <v>521</v>
      </c>
      <c r="B171" s="70" t="s">
        <v>522</v>
      </c>
      <c r="C171" s="71">
        <v>35.188001999999997</v>
      </c>
      <c r="D171" s="71">
        <v>-101.795</v>
      </c>
      <c r="E171" s="70" t="s">
        <v>525</v>
      </c>
      <c r="F171" s="86" t="str">
        <f t="shared" si="3"/>
        <v>https://maps.google.com/?q=35.188002,-101.795</v>
      </c>
      <c r="G171" s="72">
        <v>0</v>
      </c>
      <c r="H171" s="71" t="s">
        <v>523</v>
      </c>
      <c r="I171" s="71" t="s">
        <v>524</v>
      </c>
    </row>
    <row r="172" spans="1:10" x14ac:dyDescent="0.25">
      <c r="A172" s="70" t="s">
        <v>526</v>
      </c>
      <c r="B172" s="70" t="s">
        <v>527</v>
      </c>
      <c r="C172" s="71">
        <v>30.489217</v>
      </c>
      <c r="D172" s="71">
        <v>-95.988219999999998</v>
      </c>
      <c r="E172" s="70" t="s">
        <v>530</v>
      </c>
      <c r="F172" s="86" t="str">
        <f t="shared" si="3"/>
        <v>https://maps.google.com/?q=30.489217,-95.98822</v>
      </c>
      <c r="G172" s="72">
        <v>1000</v>
      </c>
      <c r="H172" s="71" t="s">
        <v>528</v>
      </c>
      <c r="I172" s="71" t="s">
        <v>529</v>
      </c>
    </row>
    <row r="173" spans="1:10" x14ac:dyDescent="0.25">
      <c r="A173" s="70" t="s">
        <v>531</v>
      </c>
      <c r="B173" s="70" t="s">
        <v>532</v>
      </c>
      <c r="C173" s="71">
        <v>30.276992</v>
      </c>
      <c r="D173" s="71">
        <v>-97.742011000000005</v>
      </c>
      <c r="E173" s="70" t="s">
        <v>535</v>
      </c>
      <c r="F173" s="86" t="str">
        <f t="shared" si="3"/>
        <v>https://maps.google.com/?q=30.276992,-97.742011</v>
      </c>
      <c r="G173" s="72">
        <v>1000</v>
      </c>
      <c r="H173" s="71" t="s">
        <v>533</v>
      </c>
      <c r="I173" s="71" t="s">
        <v>534</v>
      </c>
    </row>
    <row r="174" spans="1:10" x14ac:dyDescent="0.25">
      <c r="A174" s="70" t="s">
        <v>536</v>
      </c>
      <c r="B174" s="70" t="s">
        <v>537</v>
      </c>
      <c r="C174" s="71">
        <v>30.109660000000002</v>
      </c>
      <c r="D174" s="71">
        <v>-97.319858999999994</v>
      </c>
      <c r="E174" s="70" t="s">
        <v>540</v>
      </c>
      <c r="F174" s="86" t="str">
        <f t="shared" si="3"/>
        <v>https://maps.google.com/?q=30.10966,-97.319859</v>
      </c>
      <c r="G174" s="72">
        <v>0</v>
      </c>
      <c r="H174" s="71" t="s">
        <v>538</v>
      </c>
      <c r="I174" s="71" t="s">
        <v>539</v>
      </c>
    </row>
    <row r="175" spans="1:10" x14ac:dyDescent="0.25">
      <c r="A175" s="70" t="s">
        <v>541</v>
      </c>
      <c r="B175" s="70" t="s">
        <v>542</v>
      </c>
      <c r="C175" s="71">
        <v>33.228192</v>
      </c>
      <c r="D175" s="71">
        <v>-97.578603000000001</v>
      </c>
      <c r="E175" s="70" t="s">
        <v>545</v>
      </c>
      <c r="F175" s="86" t="str">
        <f t="shared" si="3"/>
        <v>https://maps.google.com/?q=33.228192,-97.578603</v>
      </c>
      <c r="G175" s="72">
        <v>0</v>
      </c>
      <c r="H175" s="71" t="s">
        <v>543</v>
      </c>
      <c r="I175" s="71" t="s">
        <v>544</v>
      </c>
    </row>
    <row r="176" spans="1:10" x14ac:dyDescent="0.25">
      <c r="A176" s="70" t="s">
        <v>546</v>
      </c>
      <c r="B176" s="70" t="s">
        <v>547</v>
      </c>
      <c r="C176" s="71">
        <v>29.330300999999999</v>
      </c>
      <c r="D176" s="71">
        <v>-99.280052999999995</v>
      </c>
      <c r="E176" s="70" t="s">
        <v>550</v>
      </c>
      <c r="F176" s="86" t="str">
        <f t="shared" si="3"/>
        <v>https://maps.google.com/?q=29.330301,-99.280053</v>
      </c>
      <c r="G176" s="72">
        <v>0</v>
      </c>
      <c r="H176" s="71" t="s">
        <v>548</v>
      </c>
      <c r="I176" s="71" t="s">
        <v>549</v>
      </c>
    </row>
    <row r="177" spans="1:9" x14ac:dyDescent="0.25">
      <c r="A177" s="70" t="s">
        <v>551</v>
      </c>
      <c r="B177" s="70" t="s">
        <v>552</v>
      </c>
      <c r="C177" s="71">
        <v>30.40596</v>
      </c>
      <c r="D177" s="71">
        <v>-97.000281000000001</v>
      </c>
      <c r="E177" s="70" t="s">
        <v>555</v>
      </c>
      <c r="F177" s="86" t="str">
        <f t="shared" si="3"/>
        <v>https://maps.google.com/?q=30.40596,-97.000281</v>
      </c>
      <c r="G177" s="72">
        <v>0</v>
      </c>
      <c r="H177" s="71" t="s">
        <v>553</v>
      </c>
      <c r="I177" s="71" t="s">
        <v>554</v>
      </c>
    </row>
    <row r="178" spans="1:9" x14ac:dyDescent="0.25">
      <c r="A178" s="70" t="s">
        <v>556</v>
      </c>
      <c r="B178" s="70" t="s">
        <v>557</v>
      </c>
      <c r="C178" s="71">
        <v>29.615894000000001</v>
      </c>
      <c r="D178" s="71">
        <v>-99.526953000000006</v>
      </c>
      <c r="E178" s="70" t="s">
        <v>560</v>
      </c>
      <c r="F178" s="86" t="str">
        <f t="shared" si="3"/>
        <v>https://maps.google.com/?q=29.615894,-99.526953</v>
      </c>
      <c r="G178" s="72">
        <v>0</v>
      </c>
      <c r="H178" s="71" t="s">
        <v>558</v>
      </c>
      <c r="I178" s="71" t="s">
        <v>559</v>
      </c>
    </row>
    <row r="179" spans="1:9" x14ac:dyDescent="0.25">
      <c r="A179" s="70" t="s">
        <v>561</v>
      </c>
      <c r="B179" s="70" t="s">
        <v>562</v>
      </c>
      <c r="C179" s="71">
        <v>31.803252000000001</v>
      </c>
      <c r="D179" s="71">
        <v>-97.091830999999999</v>
      </c>
      <c r="E179" s="70" t="s">
        <v>565</v>
      </c>
      <c r="F179" s="86" t="str">
        <f t="shared" si="3"/>
        <v>https://maps.google.com/?q=31.803252,-97.091831</v>
      </c>
      <c r="G179" s="72">
        <v>500</v>
      </c>
      <c r="H179" s="71" t="s">
        <v>563</v>
      </c>
      <c r="I179" s="71" t="s">
        <v>564</v>
      </c>
    </row>
    <row r="180" spans="1:9" x14ac:dyDescent="0.25">
      <c r="A180" s="70" t="s">
        <v>566</v>
      </c>
      <c r="B180" s="70" t="s">
        <v>567</v>
      </c>
      <c r="C180" s="71">
        <v>29.945678999999998</v>
      </c>
      <c r="D180" s="71">
        <v>-96.252172000000002</v>
      </c>
      <c r="E180" s="70" t="s">
        <v>570</v>
      </c>
      <c r="F180" s="86" t="str">
        <f t="shared" si="3"/>
        <v>https://maps.google.com/?q=29.945679,-96.252172</v>
      </c>
      <c r="G180" s="72">
        <v>0</v>
      </c>
      <c r="H180" s="71" t="s">
        <v>568</v>
      </c>
      <c r="I180" s="71" t="s">
        <v>569</v>
      </c>
    </row>
    <row r="181" spans="1:9" x14ac:dyDescent="0.25">
      <c r="A181" s="70" t="s">
        <v>571</v>
      </c>
      <c r="B181" s="70" t="s">
        <v>572</v>
      </c>
      <c r="C181" s="71">
        <v>31.399168</v>
      </c>
      <c r="D181" s="71">
        <v>-102.3511</v>
      </c>
      <c r="E181" s="70" t="s">
        <v>575</v>
      </c>
      <c r="F181" s="86" t="str">
        <f t="shared" si="3"/>
        <v>https://maps.google.com/?q=31.399168,-102.3511</v>
      </c>
      <c r="G181" s="72">
        <v>0</v>
      </c>
      <c r="H181" s="71" t="s">
        <v>573</v>
      </c>
      <c r="I181" s="71" t="s">
        <v>574</v>
      </c>
    </row>
    <row r="182" spans="1:9" x14ac:dyDescent="0.25">
      <c r="A182" s="70" t="s">
        <v>576</v>
      </c>
      <c r="B182" s="70" t="s">
        <v>577</v>
      </c>
      <c r="C182" s="71">
        <v>29.090923</v>
      </c>
      <c r="D182" s="71">
        <v>-97.293111999999994</v>
      </c>
      <c r="E182" s="70" t="s">
        <v>580</v>
      </c>
      <c r="F182" s="86" t="str">
        <f t="shared" si="3"/>
        <v>https://maps.google.com/?q=29.090923,-97.293112</v>
      </c>
      <c r="G182" s="72">
        <v>0</v>
      </c>
      <c r="H182" s="71" t="s">
        <v>578</v>
      </c>
      <c r="I182" s="71" t="s">
        <v>579</v>
      </c>
    </row>
    <row r="183" spans="1:9" x14ac:dyDescent="0.25">
      <c r="A183" s="70" t="s">
        <v>581</v>
      </c>
      <c r="B183" s="70" t="s">
        <v>582</v>
      </c>
      <c r="C183" s="71">
        <v>31.814174000000001</v>
      </c>
      <c r="D183" s="71">
        <v>-94.840868</v>
      </c>
      <c r="E183" s="70" t="s">
        <v>585</v>
      </c>
      <c r="F183" s="86" t="str">
        <f t="shared" si="3"/>
        <v>https://maps.google.com/?q=31.814174,-94.840868</v>
      </c>
      <c r="G183" s="72">
        <v>0</v>
      </c>
      <c r="H183" s="71" t="s">
        <v>583</v>
      </c>
      <c r="I183" s="71" t="s">
        <v>584</v>
      </c>
    </row>
    <row r="184" spans="1:9" x14ac:dyDescent="0.25">
      <c r="A184" s="70" t="s">
        <v>586</v>
      </c>
      <c r="B184" s="70" t="s">
        <v>587</v>
      </c>
      <c r="C184" s="71">
        <v>33.66283</v>
      </c>
      <c r="D184" s="71">
        <v>-95.261736999999997</v>
      </c>
      <c r="E184" s="70" t="s">
        <v>590</v>
      </c>
      <c r="F184" s="86" t="str">
        <f t="shared" si="3"/>
        <v>https://maps.google.com/?q=33.66283,-95.261737</v>
      </c>
      <c r="G184" s="72">
        <v>0</v>
      </c>
      <c r="H184" s="71" t="s">
        <v>588</v>
      </c>
      <c r="I184" s="71" t="s">
        <v>589</v>
      </c>
    </row>
    <row r="185" spans="1:9" x14ac:dyDescent="0.25">
      <c r="A185" s="70" t="s">
        <v>591</v>
      </c>
      <c r="B185" s="70" t="s">
        <v>592</v>
      </c>
      <c r="C185" s="71">
        <v>29.904779000000001</v>
      </c>
      <c r="D185" s="71">
        <v>-96.675456999999994</v>
      </c>
      <c r="E185" s="70" t="s">
        <v>595</v>
      </c>
      <c r="F185" s="86" t="str">
        <f t="shared" si="3"/>
        <v>https://maps.google.com/?q=29.904779,-96.675457</v>
      </c>
      <c r="G185" s="72">
        <v>0</v>
      </c>
      <c r="H185" s="71" t="s">
        <v>593</v>
      </c>
      <c r="I185" s="71" t="s">
        <v>594</v>
      </c>
    </row>
    <row r="186" spans="1:9" x14ac:dyDescent="0.25">
      <c r="A186" s="70" t="s">
        <v>596</v>
      </c>
      <c r="B186" s="70" t="s">
        <v>597</v>
      </c>
      <c r="C186" s="71">
        <v>30.877248000000002</v>
      </c>
      <c r="D186" s="71">
        <v>-96.592425000000006</v>
      </c>
      <c r="E186" s="70" t="s">
        <v>600</v>
      </c>
      <c r="F186" s="86" t="str">
        <f t="shared" si="3"/>
        <v>https://maps.google.com/?q=30.877248,-96.592425</v>
      </c>
      <c r="G186" s="72">
        <v>0</v>
      </c>
      <c r="H186" s="71" t="s">
        <v>598</v>
      </c>
      <c r="I186" s="71" t="s">
        <v>599</v>
      </c>
    </row>
    <row r="187" spans="1:9" x14ac:dyDescent="0.25">
      <c r="A187" s="70" t="s">
        <v>601</v>
      </c>
      <c r="B187" s="70" t="s">
        <v>602</v>
      </c>
      <c r="C187" s="71">
        <v>31.983004000000001</v>
      </c>
      <c r="D187" s="71">
        <v>-98.032928999999996</v>
      </c>
      <c r="E187" s="70" t="s">
        <v>605</v>
      </c>
      <c r="F187" s="86" t="str">
        <f t="shared" si="3"/>
        <v>https://maps.google.com/?q=31.983004,-98.032929</v>
      </c>
      <c r="G187" s="72">
        <v>0</v>
      </c>
      <c r="H187" s="71" t="s">
        <v>603</v>
      </c>
      <c r="I187" s="71" t="s">
        <v>604</v>
      </c>
    </row>
    <row r="188" spans="1:9" x14ac:dyDescent="0.25">
      <c r="A188" s="70" t="s">
        <v>606</v>
      </c>
      <c r="B188" s="70" t="s">
        <v>607</v>
      </c>
      <c r="C188" s="71">
        <v>30.544397</v>
      </c>
      <c r="D188" s="71">
        <v>-97.547694000000007</v>
      </c>
      <c r="E188" s="70" t="s">
        <v>610</v>
      </c>
      <c r="F188" s="86" t="str">
        <f t="shared" si="3"/>
        <v>https://maps.google.com/?q=30.544397,-97.547694</v>
      </c>
      <c r="G188" s="72">
        <v>0</v>
      </c>
      <c r="H188" s="71" t="s">
        <v>608</v>
      </c>
      <c r="I188" s="71" t="s">
        <v>609</v>
      </c>
    </row>
    <row r="189" spans="1:9" x14ac:dyDescent="0.25">
      <c r="A189" s="70" t="s">
        <v>611</v>
      </c>
      <c r="B189" s="70" t="s">
        <v>612</v>
      </c>
      <c r="C189" s="71">
        <v>32.866056999999998</v>
      </c>
      <c r="D189" s="71">
        <v>-96.944655999999995</v>
      </c>
      <c r="E189" s="70" t="s">
        <v>615</v>
      </c>
      <c r="F189" s="86" t="str">
        <f t="shared" si="3"/>
        <v>https://maps.google.com/?q=32.866057,-96.944656</v>
      </c>
      <c r="G189" s="72">
        <v>1000</v>
      </c>
      <c r="H189" s="71" t="s">
        <v>613</v>
      </c>
      <c r="I189" s="71" t="s">
        <v>614</v>
      </c>
    </row>
    <row r="190" spans="1:9" x14ac:dyDescent="0.25">
      <c r="A190" s="70" t="s">
        <v>616</v>
      </c>
      <c r="B190" s="70" t="s">
        <v>617</v>
      </c>
      <c r="C190" s="71">
        <v>30.491035</v>
      </c>
      <c r="D190" s="71">
        <v>-99.776831999999999</v>
      </c>
      <c r="E190" s="70" t="s">
        <v>620</v>
      </c>
      <c r="F190" s="86" t="str">
        <f t="shared" si="3"/>
        <v>https://maps.google.com/?q=30.491035,-99.776832</v>
      </c>
      <c r="G190" s="72">
        <v>0</v>
      </c>
      <c r="H190" s="71" t="s">
        <v>618</v>
      </c>
      <c r="I190" s="71" t="s">
        <v>619</v>
      </c>
    </row>
    <row r="191" spans="1:9" x14ac:dyDescent="0.25">
      <c r="A191" s="70" t="s">
        <v>621</v>
      </c>
      <c r="B191" s="70" t="s">
        <v>622</v>
      </c>
      <c r="C191" s="71">
        <v>30.759287</v>
      </c>
      <c r="D191" s="71">
        <v>-98.682086999999996</v>
      </c>
      <c r="E191" s="70" t="s">
        <v>625</v>
      </c>
      <c r="F191" s="86" t="str">
        <f t="shared" si="3"/>
        <v>https://maps.google.com/?q=30.759287,-98.682087</v>
      </c>
      <c r="G191" s="72">
        <v>0</v>
      </c>
      <c r="H191" s="71" t="s">
        <v>623</v>
      </c>
      <c r="I191" s="71" t="s">
        <v>624</v>
      </c>
    </row>
    <row r="192" spans="1:9" x14ac:dyDescent="0.25">
      <c r="A192" s="70" t="s">
        <v>626</v>
      </c>
      <c r="B192" s="70" t="s">
        <v>627</v>
      </c>
      <c r="C192" s="71">
        <v>32.941189999999999</v>
      </c>
      <c r="D192" s="71">
        <v>-94.711365999999998</v>
      </c>
      <c r="E192" s="70" t="s">
        <v>630</v>
      </c>
      <c r="F192" s="86" t="str">
        <f t="shared" si="3"/>
        <v>https://maps.google.com/?q=32.94119,-94.711366</v>
      </c>
      <c r="G192" s="72">
        <v>2000</v>
      </c>
      <c r="H192" s="71" t="s">
        <v>628</v>
      </c>
      <c r="I192" s="71" t="s">
        <v>629</v>
      </c>
    </row>
    <row r="193" spans="1:9" x14ac:dyDescent="0.25">
      <c r="A193" s="70" t="s">
        <v>631</v>
      </c>
      <c r="B193" s="70" t="s">
        <v>632</v>
      </c>
      <c r="C193" s="71">
        <v>30.570785000000001</v>
      </c>
      <c r="D193" s="71">
        <v>-98.275980000000004</v>
      </c>
      <c r="E193" s="70" t="s">
        <v>635</v>
      </c>
      <c r="F193" s="86" t="str">
        <f t="shared" si="3"/>
        <v>https://maps.google.com/?q=30.570785,-98.27598</v>
      </c>
      <c r="G193" s="72">
        <v>0</v>
      </c>
      <c r="H193" s="71" t="s">
        <v>633</v>
      </c>
      <c r="I193" s="71" t="s">
        <v>634</v>
      </c>
    </row>
    <row r="194" spans="1:9" x14ac:dyDescent="0.25">
      <c r="A194" s="70" t="s">
        <v>636</v>
      </c>
      <c r="B194" s="70" t="s">
        <v>637</v>
      </c>
      <c r="C194" s="71">
        <v>32.508099000000001</v>
      </c>
      <c r="D194" s="71">
        <v>-98.417034000000001</v>
      </c>
      <c r="E194" s="70" t="s">
        <v>640</v>
      </c>
      <c r="F194" s="86" t="str">
        <f t="shared" si="3"/>
        <v>https://maps.google.com/?q=32.508099,-98.417034</v>
      </c>
      <c r="G194" s="72">
        <v>2000</v>
      </c>
      <c r="H194" s="71" t="s">
        <v>638</v>
      </c>
      <c r="I194" s="71" t="s">
        <v>639</v>
      </c>
    </row>
    <row r="195" spans="1:9" x14ac:dyDescent="0.25">
      <c r="A195" s="70" t="s">
        <v>641</v>
      </c>
      <c r="B195" s="70" t="s">
        <v>642</v>
      </c>
      <c r="C195" s="71">
        <v>29.494329</v>
      </c>
      <c r="D195" s="71">
        <v>-94.919730999999999</v>
      </c>
      <c r="E195" s="70" t="s">
        <v>645</v>
      </c>
      <c r="F195" s="86" t="str">
        <f t="shared" si="3"/>
        <v>https://maps.google.com/?q=29.494329,-94.919731</v>
      </c>
      <c r="G195" s="72">
        <v>0</v>
      </c>
      <c r="H195" s="71" t="s">
        <v>643</v>
      </c>
      <c r="I195" s="71" t="s">
        <v>644</v>
      </c>
    </row>
    <row r="196" spans="1:9" x14ac:dyDescent="0.25">
      <c r="A196" s="70" t="s">
        <v>646</v>
      </c>
      <c r="B196" s="70" t="s">
        <v>647</v>
      </c>
      <c r="C196" s="71">
        <v>32.206457999999998</v>
      </c>
      <c r="D196" s="71">
        <v>-95.848016999999999</v>
      </c>
      <c r="E196" s="70" t="s">
        <v>650</v>
      </c>
      <c r="F196" s="86" t="str">
        <f t="shared" si="3"/>
        <v>https://maps.google.com/?q=32.206458,-95.848017</v>
      </c>
      <c r="G196" s="72">
        <v>0</v>
      </c>
      <c r="H196" s="71" t="s">
        <v>648</v>
      </c>
      <c r="I196" s="71" t="s">
        <v>649</v>
      </c>
    </row>
    <row r="197" spans="1:9" x14ac:dyDescent="0.25">
      <c r="A197" s="70" t="s">
        <v>651</v>
      </c>
      <c r="B197" s="70" t="s">
        <v>652</v>
      </c>
      <c r="C197" s="71">
        <v>29.286715999999998</v>
      </c>
      <c r="D197" s="71">
        <v>-97.151554000000004</v>
      </c>
      <c r="E197" s="70" t="s">
        <v>655</v>
      </c>
      <c r="F197" s="86" t="str">
        <f t="shared" si="3"/>
        <v>https://maps.google.com/?q=29.286716,-97.151554</v>
      </c>
      <c r="G197" s="72">
        <v>0</v>
      </c>
      <c r="H197" s="71" t="s">
        <v>653</v>
      </c>
      <c r="I197" s="71" t="s">
        <v>654</v>
      </c>
    </row>
    <row r="198" spans="1:9" x14ac:dyDescent="0.25">
      <c r="A198" s="70" t="s">
        <v>656</v>
      </c>
      <c r="B198" s="70" t="s">
        <v>657</v>
      </c>
      <c r="C198" s="71">
        <v>33.661082999999998</v>
      </c>
      <c r="D198" s="71">
        <v>-95.385845000000003</v>
      </c>
      <c r="E198" s="70" t="s">
        <v>660</v>
      </c>
      <c r="F198" s="86" t="str">
        <f t="shared" si="3"/>
        <v>https://maps.google.com/?q=33.661083,-95.385845</v>
      </c>
      <c r="G198" s="72">
        <v>0</v>
      </c>
      <c r="H198" s="71" t="s">
        <v>658</v>
      </c>
      <c r="I198" s="71" t="s">
        <v>659</v>
      </c>
    </row>
    <row r="199" spans="1:9" x14ac:dyDescent="0.25">
      <c r="A199" s="70" t="s">
        <v>661</v>
      </c>
      <c r="B199" s="70" t="s">
        <v>662</v>
      </c>
      <c r="C199" s="71">
        <v>31.118425999999999</v>
      </c>
      <c r="D199" s="71">
        <v>-99.335322000000005</v>
      </c>
      <c r="E199" s="70" t="s">
        <v>665</v>
      </c>
      <c r="F199" s="86" t="str">
        <f t="shared" si="3"/>
        <v>https://maps.google.com/?q=31.118426,-99.335322</v>
      </c>
      <c r="G199" s="72">
        <v>0</v>
      </c>
      <c r="H199" s="71" t="s">
        <v>663</v>
      </c>
      <c r="I199" s="71" t="s">
        <v>664</v>
      </c>
    </row>
    <row r="200" spans="1:9" x14ac:dyDescent="0.25">
      <c r="A200" s="70" t="s">
        <v>666</v>
      </c>
      <c r="B200" s="70" t="s">
        <v>667</v>
      </c>
      <c r="C200" s="71">
        <v>31.728138999999999</v>
      </c>
      <c r="D200" s="71">
        <v>-98.983171999999996</v>
      </c>
      <c r="E200" s="70" t="s">
        <v>670</v>
      </c>
      <c r="F200" s="86" t="str">
        <f t="shared" si="3"/>
        <v>https://maps.google.com/?q=31.728139,-98.983172</v>
      </c>
      <c r="G200" s="72">
        <v>0</v>
      </c>
      <c r="H200" s="71" t="s">
        <v>668</v>
      </c>
      <c r="I200" s="71" t="s">
        <v>669</v>
      </c>
    </row>
    <row r="201" spans="1:9" x14ac:dyDescent="0.25">
      <c r="A201" s="70" t="s">
        <v>671</v>
      </c>
      <c r="B201" s="70" t="s">
        <v>672</v>
      </c>
      <c r="C201" s="71">
        <v>31.828423999999998</v>
      </c>
      <c r="D201" s="71">
        <v>-99.423199999999994</v>
      </c>
      <c r="E201" s="70" t="s">
        <v>675</v>
      </c>
      <c r="F201" s="86" t="str">
        <f t="shared" si="3"/>
        <v>https://maps.google.com/?q=31.828424,-99.4232</v>
      </c>
      <c r="G201" s="72">
        <v>0</v>
      </c>
      <c r="H201" s="71" t="s">
        <v>673</v>
      </c>
      <c r="I201" s="71" t="s">
        <v>674</v>
      </c>
    </row>
    <row r="202" spans="1:9" x14ac:dyDescent="0.25">
      <c r="A202" s="70" t="s">
        <v>676</v>
      </c>
      <c r="B202" s="70" t="s">
        <v>677</v>
      </c>
      <c r="C202" s="71">
        <v>31.307162000000002</v>
      </c>
      <c r="D202" s="71">
        <v>-95.492788000000004</v>
      </c>
      <c r="E202" s="70" t="s">
        <v>680</v>
      </c>
      <c r="F202" s="86" t="str">
        <f t="shared" si="3"/>
        <v>https://maps.google.com/?q=31.307162,-95.492788</v>
      </c>
      <c r="G202" s="72">
        <v>0</v>
      </c>
      <c r="H202" s="71" t="s">
        <v>678</v>
      </c>
      <c r="I202" s="71" t="s">
        <v>679</v>
      </c>
    </row>
    <row r="203" spans="1:9" x14ac:dyDescent="0.25">
      <c r="A203" s="70" t="s">
        <v>681</v>
      </c>
      <c r="B203" s="70" t="s">
        <v>682</v>
      </c>
      <c r="C203" s="71">
        <v>32.372425999999997</v>
      </c>
      <c r="D203" s="71">
        <v>-95.609513000000007</v>
      </c>
      <c r="E203" s="70" t="s">
        <v>685</v>
      </c>
      <c r="F203" s="86" t="str">
        <f t="shared" si="3"/>
        <v>https://maps.google.com/?q=32.372426,-95.609513</v>
      </c>
      <c r="G203" s="72">
        <v>0</v>
      </c>
      <c r="H203" s="71" t="s">
        <v>683</v>
      </c>
      <c r="I203" s="71" t="s">
        <v>684</v>
      </c>
    </row>
    <row r="204" spans="1:9" x14ac:dyDescent="0.25">
      <c r="A204" s="70" t="s">
        <v>686</v>
      </c>
      <c r="B204" s="70" t="s">
        <v>687</v>
      </c>
      <c r="C204" s="71">
        <v>32.306519000000002</v>
      </c>
      <c r="D204" s="71">
        <v>-96.006562000000002</v>
      </c>
      <c r="E204" s="70" t="s">
        <v>690</v>
      </c>
      <c r="F204" s="86" t="str">
        <f t="shared" si="3"/>
        <v>https://maps.google.com/?q=32.306519,-96.006562</v>
      </c>
      <c r="G204" s="72">
        <v>0</v>
      </c>
      <c r="H204" s="71" t="s">
        <v>688</v>
      </c>
      <c r="I204" s="71" t="s">
        <v>689</v>
      </c>
    </row>
    <row r="205" spans="1:9" x14ac:dyDescent="0.25">
      <c r="A205" s="70" t="s">
        <v>691</v>
      </c>
      <c r="B205" s="70" t="s">
        <v>692</v>
      </c>
      <c r="C205" s="71">
        <v>29.299282999999999</v>
      </c>
      <c r="D205" s="71">
        <v>-94.786659</v>
      </c>
      <c r="E205" s="70" t="s">
        <v>695</v>
      </c>
      <c r="F205" s="86" t="str">
        <f t="shared" si="3"/>
        <v>https://maps.google.com/?q=29.299283,-94.786659</v>
      </c>
      <c r="G205" s="72">
        <v>0</v>
      </c>
      <c r="H205" s="71" t="s">
        <v>693</v>
      </c>
      <c r="I205" s="71" t="s">
        <v>694</v>
      </c>
    </row>
    <row r="206" spans="1:9" x14ac:dyDescent="0.25">
      <c r="A206" s="70" t="s">
        <v>696</v>
      </c>
      <c r="B206" s="70" t="s">
        <v>697</v>
      </c>
      <c r="C206" s="71">
        <v>34.063723000000003</v>
      </c>
      <c r="D206" s="71">
        <v>-101.8443</v>
      </c>
      <c r="E206" s="70" t="s">
        <v>700</v>
      </c>
      <c r="F206" s="86" t="str">
        <f t="shared" si="3"/>
        <v>https://maps.google.com/?q=34.063723,-101.8443</v>
      </c>
      <c r="G206" s="72">
        <v>0</v>
      </c>
      <c r="H206" s="71" t="s">
        <v>698</v>
      </c>
      <c r="I206" s="71" t="s">
        <v>699</v>
      </c>
    </row>
    <row r="207" spans="1:9" x14ac:dyDescent="0.25">
      <c r="A207" s="70" t="s">
        <v>701</v>
      </c>
      <c r="B207" s="70" t="s">
        <v>702</v>
      </c>
      <c r="C207" s="71">
        <v>26.190290000000001</v>
      </c>
      <c r="D207" s="71">
        <v>-97.706873000000002</v>
      </c>
      <c r="E207" s="70" t="s">
        <v>705</v>
      </c>
      <c r="F207" s="86" t="str">
        <f t="shared" si="3"/>
        <v>https://maps.google.com/?q=26.19029,-97.706873</v>
      </c>
      <c r="G207" s="72">
        <v>0</v>
      </c>
      <c r="H207" s="71" t="s">
        <v>703</v>
      </c>
      <c r="I207" s="71" t="s">
        <v>704</v>
      </c>
    </row>
    <row r="208" spans="1:9" x14ac:dyDescent="0.25">
      <c r="A208" s="70" t="s">
        <v>706</v>
      </c>
      <c r="B208" s="70" t="s">
        <v>707</v>
      </c>
      <c r="C208" s="71">
        <v>30.913941000000001</v>
      </c>
      <c r="D208" s="71">
        <v>-101.901</v>
      </c>
      <c r="E208" s="70" t="s">
        <v>709</v>
      </c>
      <c r="F208" s="86" t="str">
        <f t="shared" si="3"/>
        <v>https://maps.google.com/?q=30.913941,-101.901</v>
      </c>
      <c r="G208" s="72">
        <v>0</v>
      </c>
      <c r="H208" s="71" t="s">
        <v>708</v>
      </c>
      <c r="I208" s="71" t="s">
        <v>319</v>
      </c>
    </row>
    <row r="209" spans="1:9" x14ac:dyDescent="0.25">
      <c r="A209" s="70" t="s">
        <v>710</v>
      </c>
      <c r="B209" s="70" t="s">
        <v>711</v>
      </c>
      <c r="C209" s="71">
        <v>32.755218999999997</v>
      </c>
      <c r="D209" s="71">
        <v>-94.345341000000005</v>
      </c>
      <c r="E209" s="70" t="s">
        <v>714</v>
      </c>
      <c r="F209" s="86" t="str">
        <f t="shared" si="3"/>
        <v>https://maps.google.com/?q=32.755219,-94.345341</v>
      </c>
      <c r="G209" s="72">
        <v>0</v>
      </c>
      <c r="H209" s="71" t="s">
        <v>712</v>
      </c>
      <c r="I209" s="71" t="s">
        <v>713</v>
      </c>
    </row>
    <row r="210" spans="1:9" x14ac:dyDescent="0.25">
      <c r="A210" s="70" t="s">
        <v>715</v>
      </c>
      <c r="B210" s="70" t="s">
        <v>716</v>
      </c>
      <c r="C210" s="71">
        <v>32.747351000000002</v>
      </c>
      <c r="D210" s="71">
        <v>-101.952359</v>
      </c>
      <c r="E210" s="70" t="s">
        <v>719</v>
      </c>
      <c r="F210" s="86" t="str">
        <f t="shared" si="3"/>
        <v>https://maps.google.com/?q=32.747351,-101.952359</v>
      </c>
      <c r="G210" s="72">
        <v>0</v>
      </c>
      <c r="H210" s="71" t="s">
        <v>717</v>
      </c>
      <c r="I210" s="71" t="s">
        <v>718</v>
      </c>
    </row>
    <row r="211" spans="1:9" x14ac:dyDescent="0.25">
      <c r="A211" s="70" t="s">
        <v>720</v>
      </c>
      <c r="B211" s="70" t="s">
        <v>721</v>
      </c>
      <c r="C211" s="71">
        <v>30.677671</v>
      </c>
      <c r="D211" s="71">
        <v>-99.576662999999996</v>
      </c>
      <c r="E211" s="70" t="s">
        <v>724</v>
      </c>
      <c r="F211" s="86" t="str">
        <f t="shared" si="3"/>
        <v>https://maps.google.com/?q=30.677671,-99.576663</v>
      </c>
      <c r="G211" s="72">
        <v>0</v>
      </c>
      <c r="H211" s="71" t="s">
        <v>722</v>
      </c>
      <c r="I211" s="71" t="s">
        <v>723</v>
      </c>
    </row>
    <row r="212" spans="1:9" x14ac:dyDescent="0.25">
      <c r="A212" s="70" t="s">
        <v>725</v>
      </c>
      <c r="B212" s="70" t="s">
        <v>726</v>
      </c>
      <c r="C212" s="71">
        <v>30.748961000000001</v>
      </c>
      <c r="D212" s="71">
        <v>-99.231080000000006</v>
      </c>
      <c r="E212" s="70" t="s">
        <v>729</v>
      </c>
      <c r="F212" s="86" t="str">
        <f t="shared" si="3"/>
        <v>https://maps.google.com/?q=30.748961,-99.23108</v>
      </c>
      <c r="G212" s="72">
        <v>0</v>
      </c>
      <c r="H212" s="71" t="s">
        <v>727</v>
      </c>
      <c r="I212" s="71" t="s">
        <v>728</v>
      </c>
    </row>
    <row r="213" spans="1:9" x14ac:dyDescent="0.25">
      <c r="A213" s="70" t="s">
        <v>730</v>
      </c>
      <c r="B213" s="70" t="s">
        <v>731</v>
      </c>
      <c r="C213" s="71">
        <v>31.441797000000001</v>
      </c>
      <c r="D213" s="71">
        <v>-97.416860999999997</v>
      </c>
      <c r="E213" s="70" t="s">
        <v>734</v>
      </c>
      <c r="F213" s="86" t="str">
        <f t="shared" si="3"/>
        <v>https://maps.google.com/?q=31.441797,-97.416861</v>
      </c>
      <c r="G213" s="72">
        <v>0</v>
      </c>
      <c r="H213" s="71" t="s">
        <v>732</v>
      </c>
      <c r="I213" s="71" t="s">
        <v>733</v>
      </c>
    </row>
    <row r="214" spans="1:9" x14ac:dyDescent="0.25">
      <c r="A214" s="70" t="s">
        <v>735</v>
      </c>
      <c r="B214" s="70" t="s">
        <v>736</v>
      </c>
      <c r="C214" s="71">
        <v>29.590686000000002</v>
      </c>
      <c r="D214" s="71">
        <v>-98.038651000000002</v>
      </c>
      <c r="E214" s="70" t="s">
        <v>739</v>
      </c>
      <c r="F214" s="86" t="str">
        <f t="shared" si="3"/>
        <v>https://maps.google.com/?q=29.590686,-98.038651</v>
      </c>
      <c r="G214" s="72">
        <v>0</v>
      </c>
      <c r="H214" s="71" t="s">
        <v>737</v>
      </c>
      <c r="I214" s="71" t="s">
        <v>738</v>
      </c>
    </row>
    <row r="215" spans="1:9" x14ac:dyDescent="0.25">
      <c r="A215" s="70" t="s">
        <v>740</v>
      </c>
      <c r="B215" s="70" t="s">
        <v>741</v>
      </c>
      <c r="C215" s="71">
        <v>31.965385999999999</v>
      </c>
      <c r="D215" s="71">
        <v>-102.1062</v>
      </c>
      <c r="E215" s="70" t="s">
        <v>744</v>
      </c>
      <c r="F215" s="86" t="str">
        <f t="shared" si="3"/>
        <v>https://maps.google.com/?q=31.965386,-102.1062</v>
      </c>
      <c r="G215" s="72">
        <v>0</v>
      </c>
      <c r="H215" s="71" t="s">
        <v>742</v>
      </c>
      <c r="I215" s="71" t="s">
        <v>743</v>
      </c>
    </row>
    <row r="216" spans="1:9" x14ac:dyDescent="0.25">
      <c r="A216" s="70" t="s">
        <v>745</v>
      </c>
      <c r="B216" s="70" t="s">
        <v>746</v>
      </c>
      <c r="C216" s="71">
        <v>30.246628000000001</v>
      </c>
      <c r="D216" s="71">
        <v>-94.741636</v>
      </c>
      <c r="E216" s="70" t="s">
        <v>749</v>
      </c>
      <c r="F216" s="86" t="str">
        <f t="shared" si="3"/>
        <v>https://maps.google.com/?q=30.246628,-94.741636</v>
      </c>
      <c r="G216" s="72">
        <v>0</v>
      </c>
      <c r="H216" s="71" t="s">
        <v>747</v>
      </c>
      <c r="I216" s="71" t="s">
        <v>748</v>
      </c>
    </row>
    <row r="217" spans="1:9" x14ac:dyDescent="0.25">
      <c r="A217" s="70" t="s">
        <v>750</v>
      </c>
      <c r="B217" s="70" t="s">
        <v>751</v>
      </c>
      <c r="C217" s="71">
        <v>33.662970999999999</v>
      </c>
      <c r="D217" s="71">
        <v>-95.558655999999999</v>
      </c>
      <c r="E217" s="70" t="s">
        <v>754</v>
      </c>
      <c r="F217" s="86" t="str">
        <f t="shared" si="3"/>
        <v>https://maps.google.com/?q=33.662971,-95.558656</v>
      </c>
      <c r="G217" s="72">
        <v>0</v>
      </c>
      <c r="H217" s="71" t="s">
        <v>752</v>
      </c>
      <c r="I217" s="71" t="s">
        <v>753</v>
      </c>
    </row>
    <row r="218" spans="1:9" x14ac:dyDescent="0.25">
      <c r="A218" s="70" t="s">
        <v>755</v>
      </c>
      <c r="B218" s="70" t="s">
        <v>756</v>
      </c>
      <c r="C218" s="71">
        <v>26.381633999999998</v>
      </c>
      <c r="D218" s="71">
        <v>-98.825329999999994</v>
      </c>
      <c r="E218" s="70" t="s">
        <v>759</v>
      </c>
      <c r="F218" s="86" t="str">
        <f t="shared" si="3"/>
        <v>https://maps.google.com/?q=26.381634,-98.82533</v>
      </c>
      <c r="G218" s="72">
        <v>0</v>
      </c>
      <c r="H218" s="71" t="s">
        <v>757</v>
      </c>
      <c r="I218" s="71" t="s">
        <v>758</v>
      </c>
    </row>
    <row r="219" spans="1:9" x14ac:dyDescent="0.25">
      <c r="A219" s="70" t="s">
        <v>760</v>
      </c>
      <c r="B219" s="70" t="s">
        <v>761</v>
      </c>
      <c r="C219" s="71">
        <v>31.095687000000002</v>
      </c>
      <c r="D219" s="71">
        <v>-96.980987999999996</v>
      </c>
      <c r="E219" s="70" t="s">
        <v>764</v>
      </c>
      <c r="F219" s="86" t="str">
        <f t="shared" si="3"/>
        <v>https://maps.google.com/?q=31.095687,-96.980988</v>
      </c>
      <c r="G219" s="72">
        <v>1500</v>
      </c>
      <c r="H219" s="71" t="s">
        <v>762</v>
      </c>
      <c r="I219" s="71" t="s">
        <v>763</v>
      </c>
    </row>
    <row r="220" spans="1:9" x14ac:dyDescent="0.25">
      <c r="A220" s="70" t="s">
        <v>765</v>
      </c>
      <c r="B220" s="70" t="s">
        <v>766</v>
      </c>
      <c r="C220" s="71">
        <v>29.497855000000001</v>
      </c>
      <c r="D220" s="71">
        <v>-98.479517000000001</v>
      </c>
      <c r="E220" s="70" t="s">
        <v>769</v>
      </c>
      <c r="F220" s="86" t="str">
        <f t="shared" si="3"/>
        <v>https://maps.google.com/?q=29.497855,-98.479517</v>
      </c>
      <c r="G220" s="72">
        <v>0</v>
      </c>
      <c r="H220" s="71" t="s">
        <v>767</v>
      </c>
      <c r="I220" s="71" t="s">
        <v>768</v>
      </c>
    </row>
    <row r="221" spans="1:9" x14ac:dyDescent="0.25">
      <c r="A221" s="70" t="s">
        <v>770</v>
      </c>
      <c r="B221" s="70" t="s">
        <v>771</v>
      </c>
      <c r="C221" s="71">
        <v>27.763286000000001</v>
      </c>
      <c r="D221" s="71">
        <v>-98.234438999999995</v>
      </c>
      <c r="E221" s="70" t="s">
        <v>774</v>
      </c>
      <c r="F221" s="86" t="str">
        <f t="shared" si="3"/>
        <v>https://maps.google.com/?q=27.763286,-98.234439</v>
      </c>
      <c r="G221" s="72">
        <v>0</v>
      </c>
      <c r="H221" s="71" t="s">
        <v>772</v>
      </c>
      <c r="I221" s="71" t="s">
        <v>773</v>
      </c>
    </row>
    <row r="222" spans="1:9" x14ac:dyDescent="0.25">
      <c r="A222" s="70" t="s">
        <v>775</v>
      </c>
      <c r="B222" s="70" t="s">
        <v>776</v>
      </c>
      <c r="C222" s="71">
        <v>32.221668999999999</v>
      </c>
      <c r="D222" s="71">
        <v>-98.199678000000006</v>
      </c>
      <c r="E222" s="70" t="s">
        <v>779</v>
      </c>
      <c r="F222" s="86" t="str">
        <f t="shared" si="3"/>
        <v>https://maps.google.com/?q=32.221669,-98.199678</v>
      </c>
      <c r="G222" s="72">
        <v>0</v>
      </c>
      <c r="H222" s="71" t="s">
        <v>777</v>
      </c>
      <c r="I222" s="71" t="s">
        <v>778</v>
      </c>
    </row>
    <row r="223" spans="1:9" x14ac:dyDescent="0.25">
      <c r="A223" s="70" t="s">
        <v>780</v>
      </c>
      <c r="B223" s="70" t="s">
        <v>781</v>
      </c>
      <c r="C223" s="71">
        <v>32.476591999999997</v>
      </c>
      <c r="D223" s="71">
        <v>-100.394837</v>
      </c>
      <c r="E223" s="70" t="s">
        <v>784</v>
      </c>
      <c r="F223" s="86" t="str">
        <f t="shared" si="3"/>
        <v>https://maps.google.com/?q=32.476592,-100.394837</v>
      </c>
      <c r="G223" s="72">
        <v>0</v>
      </c>
      <c r="H223" s="71" t="s">
        <v>782</v>
      </c>
      <c r="I223" s="71" t="s">
        <v>783</v>
      </c>
    </row>
    <row r="224" spans="1:9" x14ac:dyDescent="0.25">
      <c r="A224" s="70" t="s">
        <v>785</v>
      </c>
      <c r="B224" s="70" t="s">
        <v>786</v>
      </c>
      <c r="C224" s="71">
        <v>35.444873999999999</v>
      </c>
      <c r="D224" s="71">
        <v>-100.28172499999999</v>
      </c>
      <c r="E224" s="70" t="s">
        <v>789</v>
      </c>
      <c r="F224" s="86" t="str">
        <f t="shared" si="3"/>
        <v>https://maps.google.com/?q=35.444874,-100.281725</v>
      </c>
      <c r="G224" s="72">
        <v>0</v>
      </c>
      <c r="H224" s="71" t="s">
        <v>787</v>
      </c>
      <c r="I224" s="71" t="s">
        <v>788</v>
      </c>
    </row>
    <row r="225" spans="1:11" x14ac:dyDescent="0.25">
      <c r="A225" s="70" t="s">
        <v>790</v>
      </c>
      <c r="B225" s="70" t="s">
        <v>791</v>
      </c>
      <c r="C225" s="71">
        <v>33.716588000000002</v>
      </c>
      <c r="D225" s="71">
        <v>-96.904617000000002</v>
      </c>
      <c r="E225" s="70" t="s">
        <v>794</v>
      </c>
      <c r="F225" s="86" t="str">
        <f t="shared" si="3"/>
        <v>https://maps.google.com/?q=33.716588,-96.904617</v>
      </c>
      <c r="G225" s="72">
        <v>1500</v>
      </c>
      <c r="H225" s="71" t="s">
        <v>792</v>
      </c>
      <c r="I225" s="71" t="s">
        <v>793</v>
      </c>
    </row>
    <row r="226" spans="1:11" x14ac:dyDescent="0.25">
      <c r="A226" s="70" t="s">
        <v>795</v>
      </c>
      <c r="B226" s="70" t="s">
        <v>796</v>
      </c>
      <c r="C226" s="71">
        <v>33.912886</v>
      </c>
      <c r="D226" s="71">
        <v>-98.490127999999999</v>
      </c>
      <c r="E226" s="70" t="s">
        <v>799</v>
      </c>
      <c r="F226" s="86" t="str">
        <f t="shared" si="3"/>
        <v>https://maps.google.com/?q=33.912886,-98.490128</v>
      </c>
      <c r="G226" s="72">
        <v>0</v>
      </c>
      <c r="H226" s="71" t="s">
        <v>797</v>
      </c>
      <c r="I226" s="71" t="s">
        <v>798</v>
      </c>
    </row>
    <row r="227" spans="1:11" x14ac:dyDescent="0.25">
      <c r="A227" s="70" t="s">
        <v>800</v>
      </c>
      <c r="B227" s="70" t="s">
        <v>801</v>
      </c>
      <c r="C227" s="71">
        <v>30.776917999999998</v>
      </c>
      <c r="D227" s="71">
        <v>-94.406785999999997</v>
      </c>
      <c r="E227" s="70" t="s">
        <v>804</v>
      </c>
      <c r="F227" s="86" t="str">
        <f t="shared" si="3"/>
        <v>https://maps.google.com/?q=30.776918,-94.406786</v>
      </c>
      <c r="G227" s="72">
        <v>0</v>
      </c>
      <c r="H227" s="71" t="s">
        <v>802</v>
      </c>
      <c r="I227" s="71" t="s">
        <v>803</v>
      </c>
    </row>
    <row r="228" spans="1:11" x14ac:dyDescent="0.25">
      <c r="A228" s="70" t="s">
        <v>805</v>
      </c>
      <c r="B228" s="70" t="s">
        <v>806</v>
      </c>
      <c r="C228" s="71">
        <v>31.791363</v>
      </c>
      <c r="D228" s="71">
        <v>-96.462843000000007</v>
      </c>
      <c r="E228" s="70" t="s">
        <v>809</v>
      </c>
      <c r="F228" s="86" t="str">
        <f t="shared" si="3"/>
        <v>https://maps.google.com/?q=31.791363,-96.462843</v>
      </c>
      <c r="G228" s="72">
        <v>0</v>
      </c>
      <c r="H228" s="71" t="s">
        <v>807</v>
      </c>
      <c r="I228" s="71" t="s">
        <v>808</v>
      </c>
    </row>
    <row r="229" spans="1:11" x14ac:dyDescent="0.25">
      <c r="A229" s="70" t="s">
        <v>810</v>
      </c>
      <c r="B229" s="70" t="s">
        <v>811</v>
      </c>
      <c r="C229" s="71">
        <v>26.913187000000001</v>
      </c>
      <c r="D229" s="71">
        <v>-99.277026000000006</v>
      </c>
      <c r="E229" s="70" t="s">
        <v>814</v>
      </c>
      <c r="F229" s="86" t="str">
        <f t="shared" si="3"/>
        <v>https://maps.google.com/?q=26.913187,-99.277026</v>
      </c>
      <c r="G229" s="72">
        <v>0</v>
      </c>
      <c r="H229" s="71" t="s">
        <v>812</v>
      </c>
      <c r="I229" s="71" t="s">
        <v>813</v>
      </c>
    </row>
    <row r="232" spans="1:11" ht="15.75" x14ac:dyDescent="0.25">
      <c r="A232" s="88" t="s">
        <v>821</v>
      </c>
      <c r="B232" s="70" t="s">
        <v>822</v>
      </c>
      <c r="G232" s="72">
        <v>15000</v>
      </c>
      <c r="K232" s="70" t="s">
        <v>1104</v>
      </c>
    </row>
    <row r="235" spans="1:11" ht="15.75" x14ac:dyDescent="0.25">
      <c r="A235" s="88" t="s">
        <v>1071</v>
      </c>
      <c r="G235" s="89" t="s">
        <v>10</v>
      </c>
    </row>
    <row r="236" spans="1:11" x14ac:dyDescent="0.25">
      <c r="A236" s="70" t="s">
        <v>1070</v>
      </c>
      <c r="B236" s="70" t="s">
        <v>344</v>
      </c>
      <c r="C236" s="70" t="s">
        <v>1072</v>
      </c>
      <c r="D236" s="70"/>
      <c r="G236" s="72">
        <v>6000</v>
      </c>
    </row>
    <row r="237" spans="1:11" x14ac:dyDescent="0.25">
      <c r="A237" s="70" t="s">
        <v>1070</v>
      </c>
      <c r="B237" s="70" t="s">
        <v>333</v>
      </c>
      <c r="C237" s="70" t="s">
        <v>1073</v>
      </c>
      <c r="D237" s="70"/>
      <c r="G237" s="72">
        <v>1000</v>
      </c>
    </row>
    <row r="238" spans="1:11" x14ac:dyDescent="0.25">
      <c r="A238" s="70" t="s">
        <v>1070</v>
      </c>
      <c r="B238" s="70" t="s">
        <v>342</v>
      </c>
      <c r="C238" s="70" t="s">
        <v>1074</v>
      </c>
      <c r="D238" s="70"/>
      <c r="G238" s="72">
        <v>5500</v>
      </c>
    </row>
    <row r="239" spans="1:11" x14ac:dyDescent="0.25">
      <c r="A239" s="70" t="s">
        <v>1070</v>
      </c>
      <c r="B239" s="70" t="s">
        <v>343</v>
      </c>
      <c r="C239" s="70" t="s">
        <v>1075</v>
      </c>
      <c r="D239" s="70"/>
      <c r="G239" s="72">
        <v>8000</v>
      </c>
    </row>
    <row r="240" spans="1:11" x14ac:dyDescent="0.25">
      <c r="A240" s="70" t="s">
        <v>1070</v>
      </c>
      <c r="B240" s="70" t="s">
        <v>13</v>
      </c>
      <c r="C240" s="70" t="s">
        <v>1088</v>
      </c>
      <c r="D240" s="70"/>
      <c r="G240" s="72">
        <v>5000</v>
      </c>
    </row>
    <row r="241" spans="1:7" x14ac:dyDescent="0.25">
      <c r="A241" s="70" t="s">
        <v>1070</v>
      </c>
      <c r="B241" s="70" t="s">
        <v>14</v>
      </c>
      <c r="C241" s="70" t="s">
        <v>1090</v>
      </c>
      <c r="D241" s="70"/>
      <c r="G241" s="72">
        <v>5000</v>
      </c>
    </row>
    <row r="242" spans="1:7" x14ac:dyDescent="0.25">
      <c r="A242" s="70" t="s">
        <v>1070</v>
      </c>
      <c r="B242" s="70" t="s">
        <v>16</v>
      </c>
      <c r="C242" s="70" t="s">
        <v>1086</v>
      </c>
      <c r="D242" s="70"/>
      <c r="G242" s="72">
        <v>2000</v>
      </c>
    </row>
    <row r="243" spans="1:7" x14ac:dyDescent="0.25">
      <c r="A243" s="70" t="s">
        <v>1070</v>
      </c>
      <c r="B243" s="70" t="s">
        <v>18</v>
      </c>
      <c r="C243" s="70" t="s">
        <v>1076</v>
      </c>
      <c r="D243" s="70"/>
      <c r="G243" s="72">
        <v>1500</v>
      </c>
    </row>
    <row r="244" spans="1:7" x14ac:dyDescent="0.25">
      <c r="A244" s="70" t="s">
        <v>1070</v>
      </c>
      <c r="B244" s="70" t="s">
        <v>15</v>
      </c>
      <c r="C244" s="70" t="s">
        <v>1087</v>
      </c>
      <c r="D244" s="70"/>
      <c r="G244" s="72">
        <v>1500</v>
      </c>
    </row>
    <row r="245" spans="1:7" x14ac:dyDescent="0.25">
      <c r="A245" s="70" t="s">
        <v>1070</v>
      </c>
      <c r="B245" s="70" t="s">
        <v>19</v>
      </c>
      <c r="C245" s="70" t="s">
        <v>1077</v>
      </c>
      <c r="D245" s="70"/>
      <c r="G245" s="72">
        <v>1000</v>
      </c>
    </row>
    <row r="246" spans="1:7" x14ac:dyDescent="0.25">
      <c r="A246" s="70" t="s">
        <v>1070</v>
      </c>
      <c r="B246" s="70" t="s">
        <v>17</v>
      </c>
      <c r="C246" s="70" t="s">
        <v>1089</v>
      </c>
      <c r="D246" s="70"/>
      <c r="G246" s="72">
        <v>1000</v>
      </c>
    </row>
    <row r="247" spans="1:7" x14ac:dyDescent="0.25">
      <c r="A247" s="70" t="s">
        <v>1070</v>
      </c>
      <c r="B247" s="70" t="s">
        <v>334</v>
      </c>
      <c r="C247" s="70" t="s">
        <v>1078</v>
      </c>
      <c r="D247" s="70"/>
      <c r="G247" s="72">
        <v>2500</v>
      </c>
    </row>
    <row r="248" spans="1:7" x14ac:dyDescent="0.25">
      <c r="A248" s="70" t="s">
        <v>1070</v>
      </c>
      <c r="B248" s="70" t="s">
        <v>336</v>
      </c>
      <c r="C248" s="70" t="s">
        <v>1079</v>
      </c>
      <c r="D248" s="70"/>
      <c r="G248" s="72">
        <v>2500</v>
      </c>
    </row>
    <row r="249" spans="1:7" x14ac:dyDescent="0.25">
      <c r="A249" s="70" t="s">
        <v>1070</v>
      </c>
      <c r="B249" s="70" t="s">
        <v>335</v>
      </c>
      <c r="C249" s="70" t="s">
        <v>1080</v>
      </c>
      <c r="D249" s="70"/>
      <c r="G249" s="72">
        <v>1600</v>
      </c>
    </row>
    <row r="250" spans="1:7" x14ac:dyDescent="0.25">
      <c r="A250" s="70" t="s">
        <v>1070</v>
      </c>
      <c r="B250" s="70" t="s">
        <v>337</v>
      </c>
      <c r="C250" s="70" t="s">
        <v>1081</v>
      </c>
      <c r="D250" s="70"/>
      <c r="G250" s="72">
        <v>4500</v>
      </c>
    </row>
    <row r="251" spans="1:7" x14ac:dyDescent="0.25">
      <c r="A251" s="70" t="s">
        <v>1070</v>
      </c>
      <c r="B251" s="70" t="s">
        <v>340</v>
      </c>
      <c r="C251" s="70" t="s">
        <v>1082</v>
      </c>
      <c r="D251" s="70"/>
      <c r="G251" s="72">
        <v>5500</v>
      </c>
    </row>
    <row r="252" spans="1:7" x14ac:dyDescent="0.25">
      <c r="A252" s="70" t="s">
        <v>1070</v>
      </c>
      <c r="B252" s="70" t="s">
        <v>338</v>
      </c>
      <c r="C252" s="70" t="s">
        <v>1083</v>
      </c>
      <c r="D252" s="70"/>
      <c r="G252" s="72">
        <v>3000</v>
      </c>
    </row>
    <row r="253" spans="1:7" x14ac:dyDescent="0.25">
      <c r="A253" s="70" t="s">
        <v>1070</v>
      </c>
      <c r="B253" s="70" t="s">
        <v>341</v>
      </c>
      <c r="C253" s="70" t="s">
        <v>1084</v>
      </c>
      <c r="D253" s="70"/>
      <c r="G253" s="72">
        <v>1200</v>
      </c>
    </row>
    <row r="254" spans="1:7" x14ac:dyDescent="0.25">
      <c r="A254" s="70" t="s">
        <v>1070</v>
      </c>
      <c r="B254" s="70" t="s">
        <v>339</v>
      </c>
      <c r="C254" s="70" t="s">
        <v>1085</v>
      </c>
      <c r="D254" s="70"/>
      <c r="G254" s="72">
        <v>1200</v>
      </c>
    </row>
  </sheetData>
  <sheetProtection algorithmName="SHA-512" hashValue="8i1tTYAP/0DTGGrPYmIJ1U6P9Cf7SvYQybkmF8yBrIc+zP8XNSSgNMhU+69xsb8r4QK4I47PaUd7JFscTqEqoA==" saltValue="3gZ1i1pzyceCo5HwTJiSz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970C1-1473-4551-A8C1-2B1BD3593E42}">
  <dimension ref="A1:AA387"/>
  <sheetViews>
    <sheetView topLeftCell="A86" workbookViewId="0">
      <selection activeCell="B104" sqref="B21:B104"/>
    </sheetView>
  </sheetViews>
  <sheetFormatPr defaultRowHeight="15" x14ac:dyDescent="0.25"/>
  <cols>
    <col min="1" max="1" width="8" customWidth="1"/>
    <col min="2" max="2" width="10.42578125" customWidth="1"/>
    <col min="5" max="5" width="9.85546875" customWidth="1"/>
    <col min="11" max="11" width="10.28515625" customWidth="1"/>
    <col min="12" max="12" width="17.140625" customWidth="1"/>
    <col min="13" max="13" width="10" bestFit="1" customWidth="1"/>
    <col min="14" max="14" width="17.140625" customWidth="1"/>
    <col min="15" max="15" width="20.28515625" customWidth="1"/>
    <col min="16" max="16" width="17.85546875" style="4" customWidth="1"/>
    <col min="17" max="17" width="11.28515625" style="4" customWidth="1"/>
    <col min="18" max="18" width="14.42578125" customWidth="1"/>
    <col min="19" max="19" width="7.5703125" customWidth="1"/>
    <col min="20" max="20" width="6.7109375" customWidth="1"/>
    <col min="21" max="21" width="25" customWidth="1"/>
    <col min="22" max="22" width="7.28515625" customWidth="1"/>
    <col min="23" max="23" width="6.7109375" customWidth="1"/>
  </cols>
  <sheetData>
    <row r="1" spans="1:23" x14ac:dyDescent="0.25">
      <c r="A1" s="6" t="s">
        <v>1105</v>
      </c>
      <c r="C1" s="41" t="s">
        <v>1120</v>
      </c>
      <c r="E1" t="s">
        <v>818</v>
      </c>
      <c r="F1" t="s">
        <v>1106</v>
      </c>
      <c r="I1" s="6" t="s">
        <v>492</v>
      </c>
      <c r="K1" s="62" t="s">
        <v>1115</v>
      </c>
      <c r="L1" t="s">
        <v>1121</v>
      </c>
      <c r="S1" s="58" t="s">
        <v>1119</v>
      </c>
      <c r="T1" s="39" t="str">
        <f>IF(L144=0,"",L144)</f>
        <v/>
      </c>
      <c r="V1" s="58" t="s">
        <v>1119</v>
      </c>
      <c r="W1" s="39" t="str">
        <f t="shared" ref="W1:W9" si="0">IF(L153=0,"",L153)</f>
        <v/>
      </c>
    </row>
    <row r="2" spans="1:23" x14ac:dyDescent="0.25">
      <c r="E2" t="str">
        <f>IF(COUNTIF($C$25:$E$139,"REST(1)")=1,"REST(1)","")</f>
        <v/>
      </c>
      <c r="F2" s="41">
        <v>555</v>
      </c>
      <c r="G2" s="3" t="str">
        <f>IF(E2&lt;&gt;"","enter minutes of REST(1)","")</f>
        <v/>
      </c>
      <c r="I2" t="str">
        <f>IF(LEFT($C$1,2)="58","Thur Meal","Fri Meal")</f>
        <v>Thur Meal</v>
      </c>
      <c r="J2" t="str">
        <f>IF('SCORE(1)'!H6="","",'SCORE(1)'!H6)</f>
        <v/>
      </c>
      <c r="K2" s="63" t="str">
        <f>IF(J2&lt;&gt;"",1,"")</f>
        <v/>
      </c>
      <c r="L2" t="s">
        <v>344</v>
      </c>
      <c r="M2">
        <f>'SCORE(1)'!R1</f>
        <v>0</v>
      </c>
      <c r="R2" t="s">
        <v>13</v>
      </c>
      <c r="S2" s="4">
        <f>D146-K146</f>
        <v>32</v>
      </c>
      <c r="T2" s="39" t="str">
        <f>IF(L146=0,"",L146)</f>
        <v/>
      </c>
      <c r="U2" t="s">
        <v>334</v>
      </c>
      <c r="V2" s="4">
        <f t="shared" ref="V2:V9" si="1">D154-K154</f>
        <v>39</v>
      </c>
      <c r="W2" s="39" t="str">
        <f t="shared" si="0"/>
        <v/>
      </c>
    </row>
    <row r="3" spans="1:23" ht="15.75" x14ac:dyDescent="0.25">
      <c r="E3" t="str">
        <f>IF(LEFT(C1,2)="30","",IF(COUNTIF($B$21:$B$135,"REST(2)")=1,"REST(2)",""))</f>
        <v>REST(2)</v>
      </c>
      <c r="F3" s="41">
        <v>300</v>
      </c>
      <c r="G3" s="3" t="str">
        <f>IF(E3&lt;&gt;"","enter minutes of REST(2)","")</f>
        <v>enter minutes of REST(2)</v>
      </c>
      <c r="I3" t="str">
        <f>IF(LEFT($C$1,2)="58","Fri Meal","Sat Meal")</f>
        <v>Fri Meal</v>
      </c>
      <c r="J3" t="str">
        <f>IF('SCORE(1)'!H7="","",'SCORE(1)'!H7)</f>
        <v/>
      </c>
      <c r="K3" s="63" t="str">
        <f t="shared" ref="K3:K4" si="2">IF(J3&lt;&gt;"",1,"")</f>
        <v/>
      </c>
      <c r="L3" t="s">
        <v>333</v>
      </c>
      <c r="M3">
        <f>'SCORE(1)'!R2</f>
        <v>0</v>
      </c>
      <c r="O3" s="61" t="s">
        <v>1117</v>
      </c>
      <c r="P3" s="58" t="s">
        <v>1119</v>
      </c>
      <c r="Q3" s="59" t="s">
        <v>1118</v>
      </c>
      <c r="R3" t="s">
        <v>14</v>
      </c>
      <c r="S3" s="4">
        <f>D147-K147</f>
        <v>8</v>
      </c>
      <c r="T3" s="39" t="str">
        <f>IF(L147=0,"",L147)</f>
        <v/>
      </c>
      <c r="U3" t="s">
        <v>336</v>
      </c>
      <c r="V3" s="4">
        <f t="shared" si="1"/>
        <v>45</v>
      </c>
      <c r="W3" s="39" t="str">
        <f t="shared" si="0"/>
        <v/>
      </c>
    </row>
    <row r="4" spans="1:23" x14ac:dyDescent="0.25">
      <c r="I4" t="str">
        <f>IF(LEFT($C$1,2)="58","Sat Meal","")</f>
        <v>Sat Meal</v>
      </c>
      <c r="J4" t="str">
        <f>IF(LEFT(C1,2)="30","",IF('SCORE(1)'!H8="","",'SCORE(1)'!H8))</f>
        <v/>
      </c>
      <c r="K4" s="63" t="str">
        <f t="shared" si="2"/>
        <v/>
      </c>
      <c r="L4" t="s">
        <v>342</v>
      </c>
      <c r="M4">
        <f>'SCORE(1)'!R3</f>
        <v>0</v>
      </c>
      <c r="O4" t="s">
        <v>344</v>
      </c>
      <c r="P4" s="4">
        <f>D141-K141</f>
        <v>28</v>
      </c>
      <c r="Q4" s="39" t="str">
        <f>IF(L141=0,"",L141)</f>
        <v/>
      </c>
      <c r="R4" t="s">
        <v>16</v>
      </c>
      <c r="S4" s="4">
        <f>D148-K148</f>
        <v>20</v>
      </c>
      <c r="T4" s="39" t="str">
        <f>IF(L148=0,"",L148)</f>
        <v/>
      </c>
      <c r="U4" t="s">
        <v>335</v>
      </c>
      <c r="V4" s="4">
        <f t="shared" si="1"/>
        <v>13</v>
      </c>
      <c r="W4" s="39" t="str">
        <f t="shared" si="0"/>
        <v/>
      </c>
    </row>
    <row r="5" spans="1:23" x14ac:dyDescent="0.25">
      <c r="E5" s="3" t="s">
        <v>1107</v>
      </c>
      <c r="F5">
        <f>IF(VALUE(LEFT(C1,2))=30,IF(F2&gt;480,480,F2),IF(F2&gt;480,480,F2)+IF(F3&gt;480,480,F3))</f>
        <v>780</v>
      </c>
      <c r="J5" t="s">
        <v>1116</v>
      </c>
      <c r="K5" s="63">
        <f>SUM(K2:K4)</f>
        <v>0</v>
      </c>
      <c r="L5" t="s">
        <v>343</v>
      </c>
      <c r="M5">
        <f>'SCORE(1)'!R4</f>
        <v>0</v>
      </c>
      <c r="O5" t="s">
        <v>333</v>
      </c>
      <c r="P5" s="4">
        <f>D142-K142</f>
        <v>42</v>
      </c>
      <c r="Q5" s="39" t="str">
        <f t="shared" ref="Q5:Q7" si="3">IF(L142=0,"",L142)</f>
        <v/>
      </c>
      <c r="R5" t="s">
        <v>18</v>
      </c>
      <c r="S5" s="4">
        <f>D149-K149</f>
        <v>7</v>
      </c>
      <c r="T5" s="39" t="str">
        <f>IF(L149=0,"",L149)</f>
        <v/>
      </c>
      <c r="U5" t="s">
        <v>337</v>
      </c>
      <c r="V5" s="4">
        <f t="shared" si="1"/>
        <v>9</v>
      </c>
      <c r="W5" s="39" t="str">
        <f t="shared" si="0"/>
        <v/>
      </c>
    </row>
    <row r="6" spans="1:23" ht="15.75" x14ac:dyDescent="0.25">
      <c r="B6" s="32" t="s">
        <v>1097</v>
      </c>
      <c r="D6" s="32" t="s">
        <v>1122</v>
      </c>
      <c r="E6" s="32"/>
      <c r="F6" s="32" t="s">
        <v>1123</v>
      </c>
      <c r="G6" s="32"/>
      <c r="H6" s="32" t="s">
        <v>1124</v>
      </c>
      <c r="K6" s="60" t="s">
        <v>1064</v>
      </c>
      <c r="O6" t="s">
        <v>342</v>
      </c>
      <c r="P6" s="4">
        <f>D143-K143</f>
        <v>37</v>
      </c>
      <c r="Q6" s="39" t="str">
        <f t="shared" si="3"/>
        <v/>
      </c>
      <c r="R6" t="s">
        <v>15</v>
      </c>
      <c r="S6" s="4">
        <f>D150-K150</f>
        <v>2</v>
      </c>
      <c r="T6" s="39" t="str">
        <f>IF(L150=0,"",L150)</f>
        <v/>
      </c>
      <c r="U6" t="s">
        <v>340</v>
      </c>
      <c r="V6" s="4">
        <f t="shared" si="1"/>
        <v>6</v>
      </c>
      <c r="W6" s="39" t="str">
        <f t="shared" si="0"/>
        <v/>
      </c>
    </row>
    <row r="7" spans="1:23" x14ac:dyDescent="0.25">
      <c r="B7">
        <v>15000</v>
      </c>
      <c r="D7">
        <f>VLOOKUP(VALUE(LEFT(C1,2)),M305:N306,2,FALSE)</f>
        <v>1560</v>
      </c>
      <c r="F7">
        <f>SUM(Q4:Q7,T2:T8,W2:W9)</f>
        <v>0</v>
      </c>
      <c r="H7">
        <f>SMALL(M2:M5,1)</f>
        <v>0</v>
      </c>
      <c r="K7" s="94">
        <f>SUM(B7,D7,F7,H7)</f>
        <v>16560</v>
      </c>
      <c r="L7" s="94"/>
      <c r="O7" t="s">
        <v>343</v>
      </c>
      <c r="P7" s="4">
        <f>D144-K144</f>
        <v>38</v>
      </c>
      <c r="Q7" s="39" t="str">
        <f t="shared" si="3"/>
        <v/>
      </c>
      <c r="R7" t="s">
        <v>19</v>
      </c>
      <c r="S7" s="4">
        <f>D152-K152</f>
        <v>4</v>
      </c>
      <c r="T7" s="39" t="str">
        <f>IF(L152=0,"",L152)</f>
        <v/>
      </c>
      <c r="U7" s="32" t="s">
        <v>338</v>
      </c>
      <c r="V7" s="4">
        <f t="shared" si="1"/>
        <v>24</v>
      </c>
      <c r="W7" s="39" t="str">
        <f t="shared" si="0"/>
        <v/>
      </c>
    </row>
    <row r="8" spans="1:23" x14ac:dyDescent="0.25">
      <c r="K8" s="94"/>
      <c r="L8" s="94"/>
      <c r="Q8" s="39" t="str">
        <f>IF(L143=0,"",L143)</f>
        <v/>
      </c>
      <c r="R8" t="s">
        <v>17</v>
      </c>
      <c r="S8" s="4">
        <f>D153-K153</f>
        <v>6</v>
      </c>
      <c r="T8" s="39" t="str">
        <f>IF(L153=0,"",L153)</f>
        <v/>
      </c>
      <c r="U8" t="s">
        <v>341</v>
      </c>
      <c r="V8" s="4">
        <f t="shared" si="1"/>
        <v>6</v>
      </c>
      <c r="W8" s="39" t="str">
        <f t="shared" si="0"/>
        <v/>
      </c>
    </row>
    <row r="9" spans="1:23" x14ac:dyDescent="0.25">
      <c r="S9" s="4"/>
      <c r="T9" s="39" t="str">
        <f>IF(L152=0,"",L152)</f>
        <v/>
      </c>
      <c r="U9" t="s">
        <v>339</v>
      </c>
      <c r="V9" s="4">
        <f t="shared" si="1"/>
        <v>3</v>
      </c>
      <c r="W9" s="39" t="str">
        <f t="shared" si="0"/>
        <v/>
      </c>
    </row>
    <row r="10" spans="1:23" x14ac:dyDescent="0.25">
      <c r="S10" s="4"/>
      <c r="T10" s="39"/>
    </row>
    <row r="11" spans="1:23" x14ac:dyDescent="0.25">
      <c r="S11" s="4"/>
      <c r="T11" s="39"/>
    </row>
    <row r="12" spans="1:23" x14ac:dyDescent="0.25">
      <c r="S12" s="4"/>
      <c r="T12" s="39"/>
    </row>
    <row r="13" spans="1:23" x14ac:dyDescent="0.25">
      <c r="S13" s="4"/>
      <c r="T13" s="39"/>
    </row>
    <row r="14" spans="1:23" x14ac:dyDescent="0.25">
      <c r="S14" s="4"/>
      <c r="T14" s="39"/>
    </row>
    <row r="15" spans="1:23" x14ac:dyDescent="0.25">
      <c r="S15" s="4"/>
      <c r="T15" s="39"/>
    </row>
    <row r="16" spans="1:23" x14ac:dyDescent="0.25">
      <c r="S16" s="4"/>
      <c r="T16" s="39"/>
    </row>
    <row r="17" spans="1:20" x14ac:dyDescent="0.25">
      <c r="S17" s="4"/>
      <c r="T17" s="39"/>
    </row>
    <row r="18" spans="1:20" x14ac:dyDescent="0.25">
      <c r="S18" s="4"/>
      <c r="T18" s="39"/>
    </row>
    <row r="19" spans="1:20" x14ac:dyDescent="0.25">
      <c r="S19" s="4"/>
      <c r="T19" s="39"/>
    </row>
    <row r="20" spans="1:20" x14ac:dyDescent="0.25">
      <c r="B20" s="48" t="s">
        <v>6</v>
      </c>
      <c r="C20" s="96" t="s">
        <v>7</v>
      </c>
      <c r="D20" s="96"/>
      <c r="E20" s="96"/>
      <c r="F20" s="96"/>
      <c r="G20" s="96" t="s">
        <v>5</v>
      </c>
      <c r="H20" s="96"/>
      <c r="I20" s="96" t="s">
        <v>8</v>
      </c>
      <c r="J20" s="96"/>
      <c r="K20" s="96" t="s">
        <v>9</v>
      </c>
      <c r="L20" s="96"/>
      <c r="M20" s="48" t="s">
        <v>10</v>
      </c>
    </row>
    <row r="21" spans="1:20" x14ac:dyDescent="0.25">
      <c r="A21" s="51">
        <v>1</v>
      </c>
      <c r="B21" s="49" t="s">
        <v>117</v>
      </c>
      <c r="C21" s="95" t="str">
        <f>IF($B21="","",VLOOKUP($B21,$A$166:$J$385,2,FALSE))</f>
        <v>Talco Cemetery</v>
      </c>
      <c r="D21" s="95"/>
      <c r="E21" s="95"/>
      <c r="F21" s="95"/>
      <c r="G21" s="95" t="str">
        <f>IF($B21="","",VLOOKUP($B21,$A$166:$J$385,8,FALSE))</f>
        <v>Oil Towns</v>
      </c>
      <c r="H21" s="95"/>
      <c r="I21" s="95" t="str">
        <f>IF($B21="","",VLOOKUP($B21,$A$166:$J$385,9,FALSE))</f>
        <v>LAND LEASES</v>
      </c>
      <c r="J21" s="95"/>
      <c r="K21" s="95" t="str">
        <f>IF($B21="","",VLOOKUP($B21,$A$166:$J$385,10,FALSE))</f>
        <v>EAST TEXAS</v>
      </c>
      <c r="L21" s="95"/>
      <c r="M21" s="50">
        <f>IF($B21="","",VLOOKUP($B21,$A$166:$J$385,7,FALSE))</f>
        <v>694</v>
      </c>
    </row>
    <row r="22" spans="1:20" x14ac:dyDescent="0.25">
      <c r="A22" s="51">
        <v>2</v>
      </c>
      <c r="B22" s="49" t="s">
        <v>40</v>
      </c>
      <c r="C22" s="95" t="str">
        <f t="shared" ref="C22:C85" si="4">IF($B22="","",VLOOKUP($B22,$A$166:$J$385,2,FALSE))</f>
        <v>Talco Historical Museum</v>
      </c>
      <c r="D22" s="95"/>
      <c r="E22" s="95"/>
      <c r="F22" s="95"/>
      <c r="G22" s="95" t="str">
        <f t="shared" ref="G22:G85" si="5">IF($B22="","",VLOOKUP($B22,$A$166:$J$385,8,FALSE))</f>
        <v>Pump Jacks</v>
      </c>
      <c r="H22" s="95"/>
      <c r="I22" s="95" t="str">
        <f t="shared" ref="I22:I85" si="6">IF($B22="","",VLOOKUP($B22,$A$166:$J$385,9,FALSE))</f>
        <v>EQUIPMENT</v>
      </c>
      <c r="J22" s="95"/>
      <c r="K22" s="95" t="str">
        <f t="shared" ref="K22:K85" si="7">IF($B22="","",VLOOKUP($B22,$A$166:$J$385,10,FALSE))</f>
        <v>EAST TEXAS</v>
      </c>
      <c r="L22" s="95"/>
      <c r="M22" s="50">
        <f t="shared" ref="M22:M85" si="8">IF($B22="","",VLOOKUP($B22,$A$166:$J$385,7,FALSE))</f>
        <v>246</v>
      </c>
    </row>
    <row r="23" spans="1:20" x14ac:dyDescent="0.25">
      <c r="A23" s="51">
        <v>3</v>
      </c>
      <c r="B23" s="49" t="s">
        <v>35</v>
      </c>
      <c r="C23" s="95" t="str">
        <f t="shared" si="4"/>
        <v>Longview - Lathrop Well</v>
      </c>
      <c r="D23" s="95"/>
      <c r="E23" s="95"/>
      <c r="F23" s="95"/>
      <c r="G23" s="95" t="str">
        <f t="shared" si="5"/>
        <v>Discovery Wells</v>
      </c>
      <c r="H23" s="95"/>
      <c r="I23" s="95" t="str">
        <f t="shared" si="6"/>
        <v>EQUIPMENT</v>
      </c>
      <c r="J23" s="95"/>
      <c r="K23" s="95" t="str">
        <f t="shared" si="7"/>
        <v>EAST TEXAS</v>
      </c>
      <c r="L23" s="95"/>
      <c r="M23" s="50">
        <f t="shared" si="8"/>
        <v>1071</v>
      </c>
    </row>
    <row r="24" spans="1:20" x14ac:dyDescent="0.25">
      <c r="A24" s="51">
        <v>4</v>
      </c>
      <c r="B24" s="49" t="s">
        <v>38</v>
      </c>
      <c r="C24" s="95" t="str">
        <f t="shared" si="4"/>
        <v>Snavely #1 Gladewater Discovery Well</v>
      </c>
      <c r="D24" s="95"/>
      <c r="E24" s="95"/>
      <c r="F24" s="95"/>
      <c r="G24" s="95" t="str">
        <f t="shared" si="5"/>
        <v>Discovery Wells</v>
      </c>
      <c r="H24" s="95"/>
      <c r="I24" s="95" t="str">
        <f t="shared" si="6"/>
        <v>EQUIPMENT</v>
      </c>
      <c r="J24" s="95"/>
      <c r="K24" s="95" t="str">
        <f t="shared" si="7"/>
        <v>EAST TEXAS</v>
      </c>
      <c r="L24" s="95"/>
      <c r="M24" s="50">
        <f t="shared" si="8"/>
        <v>1814</v>
      </c>
    </row>
    <row r="25" spans="1:20" x14ac:dyDescent="0.25">
      <c r="A25" s="51">
        <v>5</v>
      </c>
      <c r="B25" s="49" t="s">
        <v>155</v>
      </c>
      <c r="C25" s="95" t="str">
        <f t="shared" si="4"/>
        <v>Tyler picnic area oil derricks</v>
      </c>
      <c r="D25" s="95"/>
      <c r="E25" s="95"/>
      <c r="F25" s="95"/>
      <c r="G25" s="95" t="str">
        <f t="shared" si="5"/>
        <v>Oil Derricks</v>
      </c>
      <c r="H25" s="95"/>
      <c r="I25" s="95" t="str">
        <f t="shared" si="6"/>
        <v>OIL PRODUCTION</v>
      </c>
      <c r="J25" s="95"/>
      <c r="K25" s="95" t="str">
        <f t="shared" si="7"/>
        <v>EAST TEXAS</v>
      </c>
      <c r="L25" s="95"/>
      <c r="M25" s="50">
        <f t="shared" si="8"/>
        <v>2407</v>
      </c>
    </row>
    <row r="26" spans="1:20" x14ac:dyDescent="0.25">
      <c r="A26" s="51">
        <v>6</v>
      </c>
      <c r="B26" s="49" t="s">
        <v>88</v>
      </c>
      <c r="C26" s="95" t="str">
        <f t="shared" si="4"/>
        <v>Joe Roughneck - Kilgore</v>
      </c>
      <c r="D26" s="95"/>
      <c r="E26" s="95"/>
      <c r="F26" s="95"/>
      <c r="G26" s="95" t="str">
        <f t="shared" si="5"/>
        <v>Workers</v>
      </c>
      <c r="H26" s="95"/>
      <c r="I26" s="95" t="str">
        <f t="shared" si="6"/>
        <v>LABOR/TRAINING</v>
      </c>
      <c r="J26" s="95"/>
      <c r="K26" s="95" t="str">
        <f t="shared" si="7"/>
        <v>EAST TEXAS</v>
      </c>
      <c r="L26" s="95"/>
      <c r="M26" s="50">
        <f t="shared" si="8"/>
        <v>743</v>
      </c>
    </row>
    <row r="27" spans="1:20" x14ac:dyDescent="0.25">
      <c r="A27" s="51">
        <v>7</v>
      </c>
      <c r="B27" s="49" t="s">
        <v>151</v>
      </c>
      <c r="C27" s="95" t="str">
        <f t="shared" si="4"/>
        <v>Kilgore East Derrick</v>
      </c>
      <c r="D27" s="95"/>
      <c r="E27" s="95"/>
      <c r="F27" s="95"/>
      <c r="G27" s="95" t="str">
        <f t="shared" si="5"/>
        <v>Oil Derricks</v>
      </c>
      <c r="H27" s="95"/>
      <c r="I27" s="95" t="str">
        <f t="shared" si="6"/>
        <v>OIL PRODUCTION</v>
      </c>
      <c r="J27" s="95"/>
      <c r="K27" s="95" t="str">
        <f t="shared" si="7"/>
        <v>EAST TEXAS</v>
      </c>
      <c r="L27" s="95"/>
      <c r="M27" s="50">
        <f t="shared" si="8"/>
        <v>748</v>
      </c>
    </row>
    <row r="28" spans="1:20" x14ac:dyDescent="0.25">
      <c r="A28" s="51">
        <v>8</v>
      </c>
      <c r="B28" s="49" t="s">
        <v>152</v>
      </c>
      <c r="C28" s="95" t="str">
        <f t="shared" si="4"/>
        <v>Kilgore Oil Derrick Forest</v>
      </c>
      <c r="D28" s="95"/>
      <c r="E28" s="95"/>
      <c r="F28" s="95"/>
      <c r="G28" s="95" t="str">
        <f t="shared" si="5"/>
        <v>Oil Derricks</v>
      </c>
      <c r="H28" s="95"/>
      <c r="I28" s="95" t="str">
        <f t="shared" si="6"/>
        <v>OIL PRODUCTION</v>
      </c>
      <c r="J28" s="95"/>
      <c r="K28" s="95" t="str">
        <f t="shared" si="7"/>
        <v>EAST TEXAS</v>
      </c>
      <c r="L28" s="95"/>
      <c r="M28" s="50">
        <f t="shared" si="8"/>
        <v>847</v>
      </c>
    </row>
    <row r="29" spans="1:20" x14ac:dyDescent="0.25">
      <c r="A29" s="51">
        <v>9</v>
      </c>
      <c r="B29" s="49" t="s">
        <v>154</v>
      </c>
      <c r="C29" s="95" t="str">
        <f t="shared" si="4"/>
        <v>Kilgore - World's Richest Acre</v>
      </c>
      <c r="D29" s="95"/>
      <c r="E29" s="95"/>
      <c r="F29" s="95"/>
      <c r="G29" s="95" t="str">
        <f t="shared" si="5"/>
        <v>Oil Derricks</v>
      </c>
      <c r="H29" s="95"/>
      <c r="I29" s="95" t="str">
        <f t="shared" si="6"/>
        <v>OIL PRODUCTION</v>
      </c>
      <c r="J29" s="95"/>
      <c r="K29" s="95" t="str">
        <f t="shared" si="7"/>
        <v>EAST TEXAS</v>
      </c>
      <c r="L29" s="95"/>
      <c r="M29" s="50">
        <f t="shared" si="8"/>
        <v>748</v>
      </c>
    </row>
    <row r="30" spans="1:20" x14ac:dyDescent="0.25">
      <c r="A30" s="51">
        <v>10</v>
      </c>
      <c r="B30" s="49" t="s">
        <v>84</v>
      </c>
      <c r="C30" s="95" t="str">
        <f t="shared" si="4"/>
        <v>Lou Della Crim</v>
      </c>
      <c r="D30" s="95"/>
      <c r="E30" s="95"/>
      <c r="F30" s="95"/>
      <c r="G30" s="95" t="str">
        <f t="shared" si="5"/>
        <v>Oilmen</v>
      </c>
      <c r="H30" s="95"/>
      <c r="I30" s="95" t="str">
        <f t="shared" si="6"/>
        <v>LABOR/TRAINING</v>
      </c>
      <c r="J30" s="95"/>
      <c r="K30" s="95" t="str">
        <f t="shared" si="7"/>
        <v>EAST TEXAS</v>
      </c>
      <c r="L30" s="95"/>
      <c r="M30" s="50">
        <f t="shared" si="8"/>
        <v>441</v>
      </c>
    </row>
    <row r="31" spans="1:20" x14ac:dyDescent="0.25">
      <c r="A31" s="51">
        <v>11</v>
      </c>
      <c r="B31" s="49" t="s">
        <v>150</v>
      </c>
      <c r="C31" s="95" t="str">
        <f t="shared" si="4"/>
        <v>East Texas Oil Museum</v>
      </c>
      <c r="D31" s="95"/>
      <c r="E31" s="95"/>
      <c r="F31" s="95"/>
      <c r="G31" s="95" t="str">
        <f t="shared" si="5"/>
        <v>Oil Derricks</v>
      </c>
      <c r="H31" s="95"/>
      <c r="I31" s="95" t="str">
        <f t="shared" si="6"/>
        <v>OIL PRODUCTION</v>
      </c>
      <c r="J31" s="95"/>
      <c r="K31" s="95" t="str">
        <f t="shared" si="7"/>
        <v>EAST TEXAS</v>
      </c>
      <c r="L31" s="95"/>
      <c r="M31" s="50">
        <f t="shared" si="8"/>
        <v>1036</v>
      </c>
    </row>
    <row r="32" spans="1:20" x14ac:dyDescent="0.25">
      <c r="A32" s="51">
        <v>12</v>
      </c>
      <c r="B32" s="49" t="s">
        <v>86</v>
      </c>
      <c r="C32" s="95" t="str">
        <f t="shared" si="4"/>
        <v>New London</v>
      </c>
      <c r="D32" s="95"/>
      <c r="E32" s="95"/>
      <c r="F32" s="95"/>
      <c r="G32" s="95" t="str">
        <f t="shared" si="5"/>
        <v>Mishaps</v>
      </c>
      <c r="H32" s="95"/>
      <c r="I32" s="95" t="str">
        <f t="shared" si="6"/>
        <v>LABOR/TRAINING</v>
      </c>
      <c r="J32" s="95"/>
      <c r="K32" s="95" t="str">
        <f t="shared" si="7"/>
        <v>EAST TEXAS</v>
      </c>
      <c r="L32" s="95"/>
      <c r="M32" s="50">
        <f t="shared" si="8"/>
        <v>1939</v>
      </c>
    </row>
    <row r="33" spans="1:13" x14ac:dyDescent="0.25">
      <c r="A33" s="51">
        <v>13</v>
      </c>
      <c r="B33" s="49" t="s">
        <v>33</v>
      </c>
      <c r="C33" s="95" t="str">
        <f t="shared" si="4"/>
        <v>Daisy Bradford #3 discovery well</v>
      </c>
      <c r="D33" s="95"/>
      <c r="E33" s="95"/>
      <c r="F33" s="95"/>
      <c r="G33" s="95" t="str">
        <f t="shared" si="5"/>
        <v>Discovery Wells</v>
      </c>
      <c r="H33" s="95"/>
      <c r="I33" s="95" t="str">
        <f t="shared" si="6"/>
        <v>EQUIPMENT</v>
      </c>
      <c r="J33" s="95"/>
      <c r="K33" s="95" t="str">
        <f t="shared" si="7"/>
        <v>EAST TEXAS</v>
      </c>
      <c r="L33" s="95"/>
      <c r="M33" s="50">
        <f t="shared" si="8"/>
        <v>2263</v>
      </c>
    </row>
    <row r="34" spans="1:13" x14ac:dyDescent="0.25">
      <c r="A34" s="51">
        <v>14</v>
      </c>
      <c r="B34" s="49" t="s">
        <v>91</v>
      </c>
      <c r="C34" s="95" t="str">
        <f t="shared" si="4"/>
        <v>Joe Roughneck - Joinerville</v>
      </c>
      <c r="D34" s="95"/>
      <c r="E34" s="95"/>
      <c r="F34" s="95"/>
      <c r="G34" s="95" t="str">
        <f t="shared" si="5"/>
        <v>Workers</v>
      </c>
      <c r="H34" s="95"/>
      <c r="I34" s="95" t="str">
        <f t="shared" si="6"/>
        <v>LABOR/TRAINING</v>
      </c>
      <c r="J34" s="95"/>
      <c r="K34" s="95" t="str">
        <f t="shared" si="7"/>
        <v>EAST TEXAS</v>
      </c>
      <c r="L34" s="95"/>
      <c r="M34" s="50">
        <f t="shared" si="8"/>
        <v>1236</v>
      </c>
    </row>
    <row r="35" spans="1:13" x14ac:dyDescent="0.25">
      <c r="A35" s="51">
        <v>15</v>
      </c>
      <c r="B35" s="49" t="s">
        <v>156</v>
      </c>
      <c r="C35" s="95" t="str">
        <f t="shared" si="4"/>
        <v>Roadside Park Oil Derrick</v>
      </c>
      <c r="D35" s="95"/>
      <c r="E35" s="95"/>
      <c r="F35" s="95"/>
      <c r="G35" s="95" t="str">
        <f t="shared" si="5"/>
        <v>Oil Derricks</v>
      </c>
      <c r="H35" s="95"/>
      <c r="I35" s="95" t="str">
        <f t="shared" si="6"/>
        <v>OIL PRODUCTION</v>
      </c>
      <c r="J35" s="95"/>
      <c r="K35" s="95" t="str">
        <f t="shared" si="7"/>
        <v>EAST TEXAS</v>
      </c>
      <c r="L35" s="95"/>
      <c r="M35" s="50">
        <f t="shared" si="8"/>
        <v>1494</v>
      </c>
    </row>
    <row r="36" spans="1:13" x14ac:dyDescent="0.25">
      <c r="A36" s="51">
        <v>16</v>
      </c>
      <c r="B36" s="49" t="s">
        <v>37</v>
      </c>
      <c r="C36" s="95" t="str">
        <f t="shared" si="4"/>
        <v>The Joiner No 3 Daisy Bradford</v>
      </c>
      <c r="D36" s="95"/>
      <c r="E36" s="95"/>
      <c r="F36" s="95"/>
      <c r="G36" s="95" t="str">
        <f t="shared" si="5"/>
        <v>Discovery Wells</v>
      </c>
      <c r="H36" s="95"/>
      <c r="I36" s="95" t="str">
        <f t="shared" si="6"/>
        <v>EQUIPMENT</v>
      </c>
      <c r="J36" s="95"/>
      <c r="K36" s="95" t="str">
        <f t="shared" si="7"/>
        <v>EAST TEXAS</v>
      </c>
      <c r="L36" s="95"/>
      <c r="M36" s="50">
        <f t="shared" si="8"/>
        <v>3017</v>
      </c>
    </row>
    <row r="37" spans="1:13" x14ac:dyDescent="0.25">
      <c r="A37" s="51">
        <v>17</v>
      </c>
      <c r="B37" s="49" t="s">
        <v>76</v>
      </c>
      <c r="C37" s="95" t="str">
        <f t="shared" si="4"/>
        <v>Henderson</v>
      </c>
      <c r="D37" s="95"/>
      <c r="E37" s="95"/>
      <c r="F37" s="95"/>
      <c r="G37" s="95" t="str">
        <f t="shared" si="5"/>
        <v>Oilmen</v>
      </c>
      <c r="H37" s="95"/>
      <c r="I37" s="95" t="str">
        <f t="shared" si="6"/>
        <v>LABOR/TRAINING</v>
      </c>
      <c r="J37" s="95"/>
      <c r="K37" s="95" t="str">
        <f t="shared" si="7"/>
        <v>EAST TEXAS</v>
      </c>
      <c r="L37" s="95"/>
      <c r="M37" s="50">
        <f t="shared" si="8"/>
        <v>745</v>
      </c>
    </row>
    <row r="38" spans="1:13" x14ac:dyDescent="0.25">
      <c r="A38" s="51">
        <v>18</v>
      </c>
      <c r="B38" s="49" t="s">
        <v>79</v>
      </c>
      <c r="C38" s="95" t="str">
        <f t="shared" si="4"/>
        <v>Lyne Barrett</v>
      </c>
      <c r="D38" s="95"/>
      <c r="E38" s="95"/>
      <c r="F38" s="95"/>
      <c r="G38" s="95" t="str">
        <f t="shared" si="5"/>
        <v>Oilmen</v>
      </c>
      <c r="H38" s="95"/>
      <c r="I38" s="95" t="str">
        <f t="shared" si="6"/>
        <v>LABOR/TRAINING</v>
      </c>
      <c r="J38" s="95"/>
      <c r="K38" s="95" t="str">
        <f t="shared" si="7"/>
        <v>EAST TEXAS</v>
      </c>
      <c r="L38" s="95"/>
      <c r="M38" s="50">
        <f t="shared" si="8"/>
        <v>271</v>
      </c>
    </row>
    <row r="39" spans="1:13" x14ac:dyDescent="0.25">
      <c r="A39" s="51">
        <v>19</v>
      </c>
      <c r="B39" s="49" t="s">
        <v>115</v>
      </c>
      <c r="C39" s="95" t="str">
        <f t="shared" si="4"/>
        <v>Comstock Oil and Gas Dorothy Unit</v>
      </c>
      <c r="D39" s="95"/>
      <c r="E39" s="95"/>
      <c r="F39" s="95"/>
      <c r="G39" s="95" t="str">
        <f t="shared" si="5"/>
        <v>Oil Towns</v>
      </c>
      <c r="H39" s="95"/>
      <c r="I39" s="95" t="str">
        <f t="shared" si="6"/>
        <v>LAND LEASES</v>
      </c>
      <c r="J39" s="95"/>
      <c r="K39" s="95" t="str">
        <f t="shared" si="7"/>
        <v>EAST TEXAS</v>
      </c>
      <c r="L39" s="95"/>
      <c r="M39" s="50">
        <f t="shared" si="8"/>
        <v>474</v>
      </c>
    </row>
    <row r="40" spans="1:13" x14ac:dyDescent="0.25">
      <c r="A40" s="51">
        <v>20</v>
      </c>
      <c r="B40" s="49" t="s">
        <v>112</v>
      </c>
      <c r="C40" s="95" t="str">
        <f t="shared" si="4"/>
        <v>Oil Springs Oil Tank</v>
      </c>
      <c r="D40" s="95"/>
      <c r="E40" s="95"/>
      <c r="F40" s="95"/>
      <c r="G40" s="95" t="str">
        <f t="shared" si="5"/>
        <v>Oil Towns</v>
      </c>
      <c r="H40" s="95"/>
      <c r="I40" s="95" t="str">
        <f t="shared" si="6"/>
        <v>LAND LEASES</v>
      </c>
      <c r="J40" s="95"/>
      <c r="K40" s="95" t="str">
        <f t="shared" si="7"/>
        <v>EAST TEXAS</v>
      </c>
      <c r="L40" s="95"/>
      <c r="M40" s="50">
        <f t="shared" si="8"/>
        <v>4742</v>
      </c>
    </row>
    <row r="41" spans="1:13" x14ac:dyDescent="0.25">
      <c r="A41" s="51">
        <v>21</v>
      </c>
      <c r="B41" s="49" t="s">
        <v>74</v>
      </c>
      <c r="C41" s="95" t="str">
        <f t="shared" si="4"/>
        <v>Orangefield</v>
      </c>
      <c r="D41" s="95"/>
      <c r="E41" s="95"/>
      <c r="F41" s="95"/>
      <c r="G41" s="95" t="str">
        <f t="shared" si="5"/>
        <v>Discovery Wells</v>
      </c>
      <c r="H41" s="95"/>
      <c r="I41" s="95" t="str">
        <f t="shared" si="6"/>
        <v>EQUIPMENT</v>
      </c>
      <c r="J41" s="95"/>
      <c r="K41" s="95" t="str">
        <f t="shared" si="7"/>
        <v>SPINDLETOP</v>
      </c>
      <c r="L41" s="95"/>
      <c r="M41" s="50">
        <f t="shared" si="8"/>
        <v>1060</v>
      </c>
    </row>
    <row r="42" spans="1:13" x14ac:dyDescent="0.25">
      <c r="A42" s="51">
        <v>22</v>
      </c>
      <c r="B42" s="49" t="s">
        <v>111</v>
      </c>
      <c r="C42" s="95" t="str">
        <f t="shared" si="4"/>
        <v>World's Largest Working Fire Hydrant</v>
      </c>
      <c r="D42" s="95"/>
      <c r="E42" s="95"/>
      <c r="F42" s="95"/>
      <c r="G42" s="95" t="str">
        <f t="shared" si="5"/>
        <v>Unique</v>
      </c>
      <c r="H42" s="95"/>
      <c r="I42" s="95" t="str">
        <f t="shared" si="6"/>
        <v>LABOR/TRAINING</v>
      </c>
      <c r="J42" s="95"/>
      <c r="K42" s="95" t="str">
        <f t="shared" si="7"/>
        <v>SPINDLETOP</v>
      </c>
      <c r="L42" s="95"/>
      <c r="M42" s="50">
        <f t="shared" si="8"/>
        <v>684</v>
      </c>
    </row>
    <row r="43" spans="1:13" x14ac:dyDescent="0.25">
      <c r="A43" s="51">
        <v>23</v>
      </c>
      <c r="B43" s="49" t="s">
        <v>109</v>
      </c>
      <c r="C43" s="95" t="str">
        <f t="shared" si="4"/>
        <v>Beaumont YMCA</v>
      </c>
      <c r="D43" s="95"/>
      <c r="E43" s="95"/>
      <c r="F43" s="95"/>
      <c r="G43" s="95" t="str">
        <f t="shared" si="5"/>
        <v>Oilmen</v>
      </c>
      <c r="H43" s="95"/>
      <c r="I43" s="95" t="str">
        <f t="shared" si="6"/>
        <v>LABOR/TRAINING</v>
      </c>
      <c r="J43" s="95"/>
      <c r="K43" s="95" t="str">
        <f t="shared" si="7"/>
        <v>SPINDLETOP</v>
      </c>
      <c r="L43" s="95"/>
      <c r="M43" s="50">
        <f t="shared" si="8"/>
        <v>1737</v>
      </c>
    </row>
    <row r="44" spans="1:13" x14ac:dyDescent="0.25">
      <c r="A44" s="51">
        <v>24</v>
      </c>
      <c r="B44" s="49" t="s">
        <v>177</v>
      </c>
      <c r="C44" s="95" t="str">
        <f t="shared" si="4"/>
        <v>Spindletop Gladys City Boomtown Museum</v>
      </c>
      <c r="D44" s="95"/>
      <c r="E44" s="95"/>
      <c r="F44" s="95"/>
      <c r="G44" s="95" t="str">
        <f t="shared" si="5"/>
        <v>Oil Derricks</v>
      </c>
      <c r="H44" s="95"/>
      <c r="I44" s="95" t="str">
        <f t="shared" si="6"/>
        <v>OIL PRODUCTION</v>
      </c>
      <c r="J44" s="95"/>
      <c r="K44" s="95" t="str">
        <f t="shared" si="7"/>
        <v>SPINDLETOP</v>
      </c>
      <c r="L44" s="95"/>
      <c r="M44" s="50">
        <f t="shared" si="8"/>
        <v>1494</v>
      </c>
    </row>
    <row r="45" spans="1:13" x14ac:dyDescent="0.25">
      <c r="A45" s="51">
        <v>25</v>
      </c>
      <c r="B45" s="49" t="s">
        <v>73</v>
      </c>
      <c r="C45" s="95" t="str">
        <f t="shared" si="4"/>
        <v>Spindletop Park</v>
      </c>
      <c r="D45" s="95"/>
      <c r="E45" s="95"/>
      <c r="F45" s="95"/>
      <c r="G45" s="95" t="str">
        <f t="shared" si="5"/>
        <v>Discovery Wells</v>
      </c>
      <c r="H45" s="95"/>
      <c r="I45" s="95" t="str">
        <f t="shared" si="6"/>
        <v>EQUIPMENT</v>
      </c>
      <c r="J45" s="95"/>
      <c r="K45" s="95" t="str">
        <f t="shared" si="7"/>
        <v>SPINDLETOP</v>
      </c>
      <c r="L45" s="95"/>
      <c r="M45" s="50">
        <f t="shared" si="8"/>
        <v>2849</v>
      </c>
    </row>
    <row r="46" spans="1:13" x14ac:dyDescent="0.25">
      <c r="A46" s="51">
        <v>26</v>
      </c>
      <c r="B46" s="49" t="s">
        <v>174</v>
      </c>
      <c r="C46" s="95" t="str">
        <f t="shared" si="4"/>
        <v>Sour Lake Oil Derrick</v>
      </c>
      <c r="D46" s="95"/>
      <c r="E46" s="95"/>
      <c r="F46" s="95"/>
      <c r="G46" s="95" t="str">
        <f t="shared" si="5"/>
        <v>Oil Derricks</v>
      </c>
      <c r="H46" s="95"/>
      <c r="I46" s="95" t="str">
        <f t="shared" si="6"/>
        <v>OIL PRODUCTION</v>
      </c>
      <c r="J46" s="95"/>
      <c r="K46" s="95" t="str">
        <f t="shared" si="7"/>
        <v>SOUR LAKE</v>
      </c>
      <c r="L46" s="95"/>
      <c r="M46" s="50">
        <f t="shared" si="8"/>
        <v>1494</v>
      </c>
    </row>
    <row r="47" spans="1:13" x14ac:dyDescent="0.25">
      <c r="A47" s="51">
        <v>27</v>
      </c>
      <c r="B47" s="49" t="s">
        <v>69</v>
      </c>
      <c r="C47" s="95" t="str">
        <f t="shared" si="4"/>
        <v>Batson Oil Field</v>
      </c>
      <c r="D47" s="95"/>
      <c r="E47" s="95"/>
      <c r="F47" s="95"/>
      <c r="G47" s="95" t="str">
        <f t="shared" si="5"/>
        <v>Discovery Wells</v>
      </c>
      <c r="H47" s="95"/>
      <c r="I47" s="95" t="str">
        <f t="shared" si="6"/>
        <v>EQUIPMENT</v>
      </c>
      <c r="J47" s="95"/>
      <c r="K47" s="95" t="str">
        <f t="shared" si="7"/>
        <v>SOUR LAKE</v>
      </c>
      <c r="L47" s="95"/>
      <c r="M47" s="50">
        <f t="shared" si="8"/>
        <v>843</v>
      </c>
    </row>
    <row r="48" spans="1:13" x14ac:dyDescent="0.25">
      <c r="A48" s="51">
        <v>28</v>
      </c>
      <c r="B48" s="49" t="s">
        <v>108</v>
      </c>
      <c r="C48" s="95" t="str">
        <f t="shared" si="4"/>
        <v>Daisetta Sinkhole</v>
      </c>
      <c r="D48" s="95"/>
      <c r="E48" s="95"/>
      <c r="F48" s="95"/>
      <c r="G48" s="95" t="str">
        <f t="shared" si="5"/>
        <v>Mishaps</v>
      </c>
      <c r="H48" s="95"/>
      <c r="I48" s="95" t="str">
        <f t="shared" si="6"/>
        <v>LABOR/TRAINING</v>
      </c>
      <c r="J48" s="95"/>
      <c r="K48" s="95" t="str">
        <f t="shared" si="7"/>
        <v>SOUR LAKE</v>
      </c>
      <c r="L48" s="95"/>
      <c r="M48" s="50">
        <f t="shared" si="8"/>
        <v>1205</v>
      </c>
    </row>
    <row r="49" spans="1:13" x14ac:dyDescent="0.25">
      <c r="A49" s="51">
        <v>29</v>
      </c>
      <c r="B49" s="49" t="s">
        <v>43</v>
      </c>
      <c r="C49" s="95" t="str">
        <f t="shared" si="4"/>
        <v>Baytown Oil Field Pump Jack</v>
      </c>
      <c r="D49" s="95"/>
      <c r="E49" s="95"/>
      <c r="F49" s="95"/>
      <c r="G49" s="95" t="str">
        <f t="shared" si="5"/>
        <v>Pump Jacks</v>
      </c>
      <c r="H49" s="95"/>
      <c r="I49" s="95" t="str">
        <f t="shared" si="6"/>
        <v>EQUIPMENT</v>
      </c>
      <c r="J49" s="95"/>
      <c r="K49" s="95" t="str">
        <f t="shared" si="7"/>
        <v>HUMBLE</v>
      </c>
      <c r="L49" s="95"/>
      <c r="M49" s="50">
        <f t="shared" si="8"/>
        <v>294</v>
      </c>
    </row>
    <row r="50" spans="1:13" x14ac:dyDescent="0.25">
      <c r="A50" s="51">
        <v>30</v>
      </c>
      <c r="B50" s="49" t="s">
        <v>120</v>
      </c>
      <c r="C50" s="95" t="str">
        <f t="shared" si="4"/>
        <v>Goose Creek Jail</v>
      </c>
      <c r="D50" s="95"/>
      <c r="E50" s="95"/>
      <c r="F50" s="95"/>
      <c r="G50" s="95" t="str">
        <f t="shared" si="5"/>
        <v>Oil Towns</v>
      </c>
      <c r="H50" s="95"/>
      <c r="I50" s="95" t="str">
        <f t="shared" si="6"/>
        <v>LAND LEASES</v>
      </c>
      <c r="J50" s="95"/>
      <c r="K50" s="95" t="str">
        <f t="shared" si="7"/>
        <v>HUMBLE</v>
      </c>
      <c r="L50" s="95"/>
      <c r="M50" s="50">
        <f t="shared" si="8"/>
        <v>535</v>
      </c>
    </row>
    <row r="51" spans="1:13" x14ac:dyDescent="0.25">
      <c r="A51" s="51">
        <v>31</v>
      </c>
      <c r="B51" s="49" t="s">
        <v>159</v>
      </c>
      <c r="C51" s="95" t="str">
        <f t="shared" si="4"/>
        <v>Beaumont No 54 Oil Derrick</v>
      </c>
      <c r="D51" s="95"/>
      <c r="E51" s="95"/>
      <c r="F51" s="95"/>
      <c r="G51" s="95" t="str">
        <f t="shared" si="5"/>
        <v>Oil Derricks</v>
      </c>
      <c r="H51" s="95"/>
      <c r="I51" s="95" t="str">
        <f t="shared" si="6"/>
        <v>OIL PRODUCTION</v>
      </c>
      <c r="J51" s="95"/>
      <c r="K51" s="95" t="str">
        <f t="shared" si="7"/>
        <v>HUMBLE</v>
      </c>
      <c r="L51" s="95"/>
      <c r="M51" s="50">
        <f t="shared" si="8"/>
        <v>1195</v>
      </c>
    </row>
    <row r="52" spans="1:13" x14ac:dyDescent="0.25">
      <c r="A52" s="51">
        <v>32</v>
      </c>
      <c r="B52" s="49" t="s">
        <v>92</v>
      </c>
      <c r="C52" s="95" t="str">
        <f t="shared" si="4"/>
        <v>Joseph Stephen Cullinan</v>
      </c>
      <c r="D52" s="95"/>
      <c r="E52" s="95"/>
      <c r="F52" s="95"/>
      <c r="G52" s="95" t="str">
        <f t="shared" si="5"/>
        <v>Oilmen</v>
      </c>
      <c r="H52" s="95"/>
      <c r="I52" s="95" t="str">
        <f t="shared" si="6"/>
        <v>LABOR/TRAINING</v>
      </c>
      <c r="J52" s="95"/>
      <c r="K52" s="95" t="str">
        <f t="shared" si="7"/>
        <v>HUMBLE</v>
      </c>
      <c r="L52" s="95"/>
      <c r="M52" s="50">
        <f t="shared" si="8"/>
        <v>280</v>
      </c>
    </row>
    <row r="53" spans="1:13" x14ac:dyDescent="0.25">
      <c r="A53" s="51">
        <v>33</v>
      </c>
      <c r="B53" s="49" t="s">
        <v>160</v>
      </c>
      <c r="C53" s="95" t="str">
        <f t="shared" si="4"/>
        <v>Humble Oil Derrick Clock</v>
      </c>
      <c r="D53" s="95"/>
      <c r="E53" s="95"/>
      <c r="F53" s="95"/>
      <c r="G53" s="95" t="str">
        <f t="shared" si="5"/>
        <v>Oil Derricks</v>
      </c>
      <c r="H53" s="95"/>
      <c r="I53" s="95" t="str">
        <f t="shared" si="6"/>
        <v>OIL PRODUCTION</v>
      </c>
      <c r="J53" s="95"/>
      <c r="K53" s="95" t="str">
        <f t="shared" si="7"/>
        <v>HUMBLE</v>
      </c>
      <c r="L53" s="95"/>
      <c r="M53" s="50">
        <f t="shared" si="8"/>
        <v>986</v>
      </c>
    </row>
    <row r="54" spans="1:13" x14ac:dyDescent="0.25">
      <c r="A54" s="51">
        <v>34</v>
      </c>
      <c r="B54" s="49" t="s">
        <v>42</v>
      </c>
      <c r="C54" s="95" t="str">
        <f t="shared" si="4"/>
        <v>Moonshine Hill</v>
      </c>
      <c r="D54" s="95"/>
      <c r="E54" s="95"/>
      <c r="F54" s="95"/>
      <c r="G54" s="95" t="str">
        <f t="shared" si="5"/>
        <v>Discovery Wells</v>
      </c>
      <c r="H54" s="95"/>
      <c r="I54" s="95" t="str">
        <f t="shared" si="6"/>
        <v>EQUIPMENT</v>
      </c>
      <c r="J54" s="95"/>
      <c r="K54" s="95" t="str">
        <f t="shared" si="7"/>
        <v>HUMBLE</v>
      </c>
      <c r="L54" s="95"/>
      <c r="M54" s="50">
        <f t="shared" si="8"/>
        <v>265</v>
      </c>
    </row>
    <row r="55" spans="1:13" x14ac:dyDescent="0.25">
      <c r="A55" s="51">
        <v>35</v>
      </c>
      <c r="B55" s="49" t="s">
        <v>93</v>
      </c>
      <c r="C55" s="95" t="str">
        <f t="shared" si="4"/>
        <v>Conroe Crater Lake</v>
      </c>
      <c r="D55" s="95"/>
      <c r="E55" s="95"/>
      <c r="F55" s="95"/>
      <c r="G55" s="95" t="str">
        <f t="shared" si="5"/>
        <v>Mishaps</v>
      </c>
      <c r="H55" s="95"/>
      <c r="I55" s="95" t="str">
        <f t="shared" si="6"/>
        <v>LABOR/TRAINING</v>
      </c>
      <c r="J55" s="95"/>
      <c r="K55" s="95" t="str">
        <f t="shared" si="7"/>
        <v>HUMBLE</v>
      </c>
      <c r="L55" s="95"/>
      <c r="M55" s="50">
        <f t="shared" si="8"/>
        <v>252</v>
      </c>
    </row>
    <row r="56" spans="1:13" x14ac:dyDescent="0.25">
      <c r="A56" s="51">
        <v>36</v>
      </c>
      <c r="B56" s="49" t="s">
        <v>161</v>
      </c>
      <c r="C56" s="95" t="str">
        <f t="shared" si="4"/>
        <v>Tomball Park Derrick Fountain</v>
      </c>
      <c r="D56" s="95"/>
      <c r="E56" s="95"/>
      <c r="F56" s="95"/>
      <c r="G56" s="95" t="str">
        <f t="shared" si="5"/>
        <v>Oil Derricks</v>
      </c>
      <c r="H56" s="95"/>
      <c r="I56" s="95" t="str">
        <f t="shared" si="6"/>
        <v>OIL PRODUCTION</v>
      </c>
      <c r="J56" s="95"/>
      <c r="K56" s="95" t="str">
        <f t="shared" si="7"/>
        <v>HUMBLE</v>
      </c>
      <c r="L56" s="95"/>
      <c r="M56" s="50">
        <f t="shared" si="8"/>
        <v>2688</v>
      </c>
    </row>
    <row r="57" spans="1:13" x14ac:dyDescent="0.25">
      <c r="A57" s="51">
        <v>37</v>
      </c>
      <c r="B57" s="49" t="s">
        <v>89</v>
      </c>
      <c r="C57" s="95" t="str">
        <f t="shared" si="4"/>
        <v>Richardson Petroleum Engineering Building</v>
      </c>
      <c r="D57" s="95"/>
      <c r="E57" s="95"/>
      <c r="F57" s="95"/>
      <c r="G57" s="95" t="str">
        <f t="shared" si="5"/>
        <v>Workers</v>
      </c>
      <c r="H57" s="95"/>
      <c r="I57" s="95" t="str">
        <f t="shared" si="6"/>
        <v>LABOR/TRAINING</v>
      </c>
      <c r="J57" s="95"/>
      <c r="K57" s="95" t="str">
        <f t="shared" si="7"/>
        <v>EAST TEXAS</v>
      </c>
      <c r="L57" s="95"/>
      <c r="M57" s="50">
        <f t="shared" si="8"/>
        <v>3443</v>
      </c>
    </row>
    <row r="58" spans="1:13" x14ac:dyDescent="0.25">
      <c r="A58" s="51">
        <v>38</v>
      </c>
      <c r="B58" s="49" t="s">
        <v>121</v>
      </c>
      <c r="C58" s="95" t="str">
        <f t="shared" si="4"/>
        <v>Somerville - Yegua Creek</v>
      </c>
      <c r="D58" s="95"/>
      <c r="E58" s="95"/>
      <c r="F58" s="95"/>
      <c r="G58" s="95" t="str">
        <f t="shared" si="5"/>
        <v>Oil Towns</v>
      </c>
      <c r="H58" s="95"/>
      <c r="I58" s="95" t="str">
        <f t="shared" si="6"/>
        <v>LAND LEASES</v>
      </c>
      <c r="J58" s="95"/>
      <c r="K58" s="95" t="str">
        <f t="shared" si="7"/>
        <v>HUMBLE</v>
      </c>
      <c r="L58" s="95"/>
      <c r="M58" s="50">
        <f t="shared" si="8"/>
        <v>321</v>
      </c>
    </row>
    <row r="59" spans="1:13" x14ac:dyDescent="0.25">
      <c r="A59" s="51">
        <v>39</v>
      </c>
      <c r="B59" s="49" t="s">
        <v>103</v>
      </c>
      <c r="C59" s="95" t="str">
        <f t="shared" si="4"/>
        <v>Govenor Dan Moody</v>
      </c>
      <c r="D59" s="95"/>
      <c r="E59" s="95"/>
      <c r="F59" s="95"/>
      <c r="G59" s="95" t="str">
        <f t="shared" si="5"/>
        <v>Oilmen</v>
      </c>
      <c r="H59" s="95"/>
      <c r="I59" s="95" t="str">
        <f t="shared" si="6"/>
        <v>LABOR/TRAINING</v>
      </c>
      <c r="J59" s="95"/>
      <c r="K59" s="95" t="str">
        <f t="shared" si="7"/>
        <v>PANHANDLE</v>
      </c>
      <c r="L59" s="95"/>
      <c r="M59" s="50">
        <f t="shared" si="8"/>
        <v>911</v>
      </c>
    </row>
    <row r="60" spans="1:13" x14ac:dyDescent="0.25">
      <c r="A60" s="51">
        <v>40</v>
      </c>
      <c r="B60" s="49" t="s">
        <v>75</v>
      </c>
      <c r="C60" s="95" t="str">
        <f t="shared" si="4"/>
        <v>Frank Hamer - Austin Memorial Park Cemetery</v>
      </c>
      <c r="D60" s="95"/>
      <c r="E60" s="95"/>
      <c r="F60" s="95"/>
      <c r="G60" s="95" t="str">
        <f t="shared" si="5"/>
        <v>Oilmen</v>
      </c>
      <c r="H60" s="95"/>
      <c r="I60" s="95" t="str">
        <f t="shared" si="6"/>
        <v>LABOR/TRAINING</v>
      </c>
      <c r="J60" s="95"/>
      <c r="K60" s="95" t="str">
        <f t="shared" si="7"/>
        <v>EAST TEXAS</v>
      </c>
      <c r="L60" s="95"/>
      <c r="M60" s="50">
        <f t="shared" si="8"/>
        <v>945</v>
      </c>
    </row>
    <row r="61" spans="1:13" x14ac:dyDescent="0.25">
      <c r="A61" s="51">
        <v>41</v>
      </c>
      <c r="B61" s="49" t="s">
        <v>39</v>
      </c>
      <c r="C61" s="95" t="str">
        <f t="shared" si="4"/>
        <v>Santa Rite No 1 Drill Rig</v>
      </c>
      <c r="D61" s="95"/>
      <c r="E61" s="95"/>
      <c r="F61" s="95"/>
      <c r="G61" s="95" t="str">
        <f t="shared" si="5"/>
        <v>Drilling Rigs</v>
      </c>
      <c r="H61" s="95"/>
      <c r="I61" s="95" t="str">
        <f t="shared" si="6"/>
        <v>EQUIPMENT</v>
      </c>
      <c r="J61" s="95"/>
      <c r="K61" s="95" t="str">
        <f t="shared" si="7"/>
        <v>EAST TEXAS</v>
      </c>
      <c r="L61" s="95"/>
      <c r="M61" s="50">
        <f t="shared" si="8"/>
        <v>145</v>
      </c>
    </row>
    <row r="62" spans="1:13" x14ac:dyDescent="0.25">
      <c r="A62" s="51">
        <v>42</v>
      </c>
      <c r="B62" s="49" t="s">
        <v>176</v>
      </c>
      <c r="C62" s="95" t="str">
        <f t="shared" si="4"/>
        <v>Luling Oil Derrick</v>
      </c>
      <c r="D62" s="95"/>
      <c r="E62" s="95"/>
      <c r="F62" s="95"/>
      <c r="G62" s="95" t="str">
        <f t="shared" si="5"/>
        <v>Oil Derricks</v>
      </c>
      <c r="H62" s="95"/>
      <c r="I62" s="95" t="str">
        <f t="shared" si="6"/>
        <v>OIL PRODUCTION</v>
      </c>
      <c r="J62" s="95"/>
      <c r="K62" s="95" t="str">
        <f t="shared" si="7"/>
        <v>SOUTHERN COASTAL</v>
      </c>
      <c r="L62" s="95"/>
      <c r="M62" s="50">
        <f t="shared" si="8"/>
        <v>516</v>
      </c>
    </row>
    <row r="63" spans="1:13" x14ac:dyDescent="0.25">
      <c r="A63" s="51">
        <v>43</v>
      </c>
      <c r="B63" s="49" t="s">
        <v>157</v>
      </c>
      <c r="C63" s="95" t="str">
        <f t="shared" si="4"/>
        <v>Egypt Road Sign</v>
      </c>
      <c r="D63" s="95"/>
      <c r="E63" s="95"/>
      <c r="F63" s="95"/>
      <c r="G63" s="95" t="str">
        <f t="shared" si="5"/>
        <v>Oil Derricks</v>
      </c>
      <c r="H63" s="95"/>
      <c r="I63" s="95" t="str">
        <f t="shared" si="6"/>
        <v>OIL PRODUCTION</v>
      </c>
      <c r="J63" s="95"/>
      <c r="K63" s="95" t="str">
        <f t="shared" si="7"/>
        <v>HUMBLE</v>
      </c>
      <c r="L63" s="95"/>
      <c r="M63" s="50">
        <f t="shared" si="8"/>
        <v>3251</v>
      </c>
    </row>
    <row r="64" spans="1:13" x14ac:dyDescent="0.25">
      <c r="A64" s="51">
        <v>44</v>
      </c>
      <c r="B64" s="49" t="s">
        <v>41</v>
      </c>
      <c r="C64" s="95" t="str">
        <f t="shared" si="4"/>
        <v>WH Abrams Well No 1 Brazoria County</v>
      </c>
      <c r="D64" s="95"/>
      <c r="E64" s="95"/>
      <c r="F64" s="95"/>
      <c r="G64" s="95" t="str">
        <f t="shared" si="5"/>
        <v>Discovery Wells</v>
      </c>
      <c r="H64" s="95"/>
      <c r="I64" s="95" t="str">
        <f t="shared" si="6"/>
        <v>EQUIPMENT</v>
      </c>
      <c r="J64" s="95"/>
      <c r="K64" s="95" t="str">
        <f t="shared" si="7"/>
        <v>HUMBLE</v>
      </c>
      <c r="L64" s="95"/>
      <c r="M64" s="50">
        <f t="shared" si="8"/>
        <v>295</v>
      </c>
    </row>
    <row r="65" spans="1:13" x14ac:dyDescent="0.25">
      <c r="A65" s="51">
        <v>45</v>
      </c>
      <c r="B65" s="49" t="s">
        <v>119</v>
      </c>
      <c r="C65" s="95" t="str">
        <f t="shared" si="4"/>
        <v>Clemville</v>
      </c>
      <c r="D65" s="95"/>
      <c r="E65" s="95"/>
      <c r="F65" s="95"/>
      <c r="G65" s="95" t="str">
        <f t="shared" si="5"/>
        <v>Oil Towns</v>
      </c>
      <c r="H65" s="95"/>
      <c r="I65" s="95" t="str">
        <f t="shared" si="6"/>
        <v>LAND LEASES</v>
      </c>
      <c r="J65" s="95"/>
      <c r="K65" s="95" t="str">
        <f t="shared" si="7"/>
        <v>HUMBLE</v>
      </c>
      <c r="L65" s="95"/>
      <c r="M65" s="50">
        <f t="shared" si="8"/>
        <v>1256</v>
      </c>
    </row>
    <row r="66" spans="1:13" x14ac:dyDescent="0.25">
      <c r="A66" s="51">
        <v>46</v>
      </c>
      <c r="B66" s="49" t="s">
        <v>71</v>
      </c>
      <c r="C66" s="95" t="str">
        <f t="shared" si="4"/>
        <v>Refugio - Mission River Park drill site</v>
      </c>
      <c r="D66" s="95"/>
      <c r="E66" s="95"/>
      <c r="F66" s="95"/>
      <c r="G66" s="95" t="str">
        <f t="shared" si="5"/>
        <v>Discovery Wells</v>
      </c>
      <c r="H66" s="95"/>
      <c r="I66" s="95" t="str">
        <f t="shared" si="6"/>
        <v>EQUIPMENT</v>
      </c>
      <c r="J66" s="95"/>
      <c r="K66" s="95" t="str">
        <f t="shared" si="7"/>
        <v>SOUTHERN COASTAL</v>
      </c>
      <c r="L66" s="95"/>
      <c r="M66" s="50">
        <f t="shared" si="8"/>
        <v>2834</v>
      </c>
    </row>
    <row r="67" spans="1:13" x14ac:dyDescent="0.25">
      <c r="A67" s="51">
        <v>47</v>
      </c>
      <c r="B67" s="49" t="s">
        <v>175</v>
      </c>
      <c r="C67" s="95" t="str">
        <f t="shared" si="4"/>
        <v>Corpus Christi</v>
      </c>
      <c r="D67" s="95"/>
      <c r="E67" s="95"/>
      <c r="F67" s="95"/>
      <c r="G67" s="95" t="str">
        <f t="shared" si="5"/>
        <v>Oil Derricks</v>
      </c>
      <c r="H67" s="95"/>
      <c r="I67" s="95" t="str">
        <f t="shared" si="6"/>
        <v>OIL PRODUCTION</v>
      </c>
      <c r="J67" s="95"/>
      <c r="K67" s="95" t="str">
        <f t="shared" si="7"/>
        <v>SOUTHERN COASTAL</v>
      </c>
      <c r="L67" s="95"/>
      <c r="M67" s="50">
        <f t="shared" si="8"/>
        <v>3019</v>
      </c>
    </row>
    <row r="68" spans="1:13" x14ac:dyDescent="0.25">
      <c r="A68" s="51">
        <v>48</v>
      </c>
      <c r="B68" s="49" t="s">
        <v>101</v>
      </c>
      <c r="C68" s="95" t="str">
        <f t="shared" si="4"/>
        <v>W.W. Sterling</v>
      </c>
      <c r="D68" s="95"/>
      <c r="E68" s="95"/>
      <c r="F68" s="95"/>
      <c r="G68" s="95" t="str">
        <f t="shared" si="5"/>
        <v>Oilmen</v>
      </c>
      <c r="H68" s="95"/>
      <c r="I68" s="95" t="str">
        <f t="shared" si="6"/>
        <v>LABOR/TRAINING</v>
      </c>
      <c r="J68" s="95"/>
      <c r="K68" s="95" t="str">
        <f t="shared" si="7"/>
        <v>PANHANDLE</v>
      </c>
      <c r="L68" s="95"/>
      <c r="M68" s="50">
        <f t="shared" si="8"/>
        <v>771</v>
      </c>
    </row>
    <row r="69" spans="1:13" x14ac:dyDescent="0.25">
      <c r="A69" s="51">
        <v>49</v>
      </c>
      <c r="B69" s="49" t="s">
        <v>149</v>
      </c>
      <c r="C69" s="95" t="str">
        <f t="shared" si="4"/>
        <v>Tilden</v>
      </c>
      <c r="D69" s="95"/>
      <c r="E69" s="95"/>
      <c r="F69" s="95"/>
      <c r="G69" s="95" t="str">
        <f t="shared" si="5"/>
        <v>Oil Towns</v>
      </c>
      <c r="H69" s="95"/>
      <c r="I69" s="95" t="str">
        <f t="shared" si="6"/>
        <v>LAND LEASES</v>
      </c>
      <c r="J69" s="95"/>
      <c r="K69" s="95" t="str">
        <f t="shared" si="7"/>
        <v>SOUTHERN COASTAL</v>
      </c>
      <c r="L69" s="95"/>
      <c r="M69" s="50">
        <f t="shared" si="8"/>
        <v>1879</v>
      </c>
    </row>
    <row r="70" spans="1:13" x14ac:dyDescent="0.25">
      <c r="A70" s="51">
        <v>50</v>
      </c>
      <c r="B70" s="49" t="s">
        <v>110</v>
      </c>
      <c r="C70" s="95" t="str">
        <f t="shared" si="4"/>
        <v>Pattillo Higgins</v>
      </c>
      <c r="D70" s="95"/>
      <c r="E70" s="95"/>
      <c r="F70" s="95"/>
      <c r="G70" s="95" t="str">
        <f t="shared" si="5"/>
        <v>Oilmen</v>
      </c>
      <c r="H70" s="95"/>
      <c r="I70" s="95" t="str">
        <f t="shared" si="6"/>
        <v>LABOR/TRAINING</v>
      </c>
      <c r="J70" s="95"/>
      <c r="K70" s="95" t="str">
        <f t="shared" si="7"/>
        <v>SPINDLETOP</v>
      </c>
      <c r="L70" s="95"/>
      <c r="M70" s="50">
        <f t="shared" si="8"/>
        <v>636</v>
      </c>
    </row>
    <row r="71" spans="1:13" x14ac:dyDescent="0.25">
      <c r="A71" s="51">
        <v>51</v>
      </c>
      <c r="B71" s="49" t="s">
        <v>57</v>
      </c>
      <c r="C71" s="95" t="str">
        <f t="shared" si="4"/>
        <v>Crockett County first producing well marker</v>
      </c>
      <c r="D71" s="95"/>
      <c r="E71" s="95"/>
      <c r="F71" s="95"/>
      <c r="G71" s="95" t="str">
        <f t="shared" si="5"/>
        <v>Discovery Wells</v>
      </c>
      <c r="H71" s="95"/>
      <c r="I71" s="95" t="str">
        <f t="shared" si="6"/>
        <v>EQUIPMENT</v>
      </c>
      <c r="J71" s="95"/>
      <c r="K71" s="95" t="str">
        <f t="shared" si="7"/>
        <v>PERMIAN BASIN &amp; BIG LAKE</v>
      </c>
      <c r="L71" s="95"/>
      <c r="M71" s="50">
        <f t="shared" si="8"/>
        <v>273</v>
      </c>
    </row>
    <row r="72" spans="1:13" x14ac:dyDescent="0.25">
      <c r="A72" s="51">
        <v>52</v>
      </c>
      <c r="B72" s="49" t="s">
        <v>62</v>
      </c>
      <c r="C72" s="95" t="str">
        <f t="shared" si="4"/>
        <v>Texon Oil Derrick</v>
      </c>
      <c r="D72" s="95"/>
      <c r="E72" s="95"/>
      <c r="F72" s="95"/>
      <c r="G72" s="95" t="str">
        <f t="shared" si="5"/>
        <v>Discovery Wells</v>
      </c>
      <c r="H72" s="95"/>
      <c r="I72" s="95" t="str">
        <f t="shared" si="6"/>
        <v>EQUIPMENT</v>
      </c>
      <c r="J72" s="95"/>
      <c r="K72" s="95" t="str">
        <f t="shared" si="7"/>
        <v>PERMIAN BASIN &amp; BIG LAKE</v>
      </c>
      <c r="L72" s="95"/>
      <c r="M72" s="50">
        <f t="shared" si="8"/>
        <v>2042</v>
      </c>
    </row>
    <row r="73" spans="1:13" x14ac:dyDescent="0.25">
      <c r="A73" s="51">
        <v>53</v>
      </c>
      <c r="B73" s="49" t="s">
        <v>107</v>
      </c>
      <c r="C73" s="95" t="str">
        <f t="shared" si="4"/>
        <v>Benedum Oil Field and townsite</v>
      </c>
      <c r="D73" s="95"/>
      <c r="E73" s="95"/>
      <c r="F73" s="95"/>
      <c r="G73" s="95" t="str">
        <f t="shared" si="5"/>
        <v>Unique</v>
      </c>
      <c r="H73" s="95"/>
      <c r="I73" s="95" t="str">
        <f t="shared" si="6"/>
        <v>LABOR/TRAINING</v>
      </c>
      <c r="J73" s="95"/>
      <c r="K73" s="95" t="str">
        <f t="shared" si="7"/>
        <v>PERMIAN BASIN &amp; BIG LAKE</v>
      </c>
      <c r="L73" s="95"/>
      <c r="M73" s="50">
        <f t="shared" si="8"/>
        <v>619</v>
      </c>
    </row>
    <row r="74" spans="1:13" x14ac:dyDescent="0.25">
      <c r="A74" s="51">
        <v>54</v>
      </c>
      <c r="B74" s="49" t="s">
        <v>146</v>
      </c>
      <c r="C74" s="95" t="str">
        <f t="shared" si="4"/>
        <v>Rankin Cemetery</v>
      </c>
      <c r="D74" s="95"/>
      <c r="E74" s="95"/>
      <c r="F74" s="95"/>
      <c r="G74" s="95" t="str">
        <f t="shared" si="5"/>
        <v>Oil Towns</v>
      </c>
      <c r="H74" s="95"/>
      <c r="I74" s="95" t="str">
        <f t="shared" si="6"/>
        <v>LAND LEASES</v>
      </c>
      <c r="J74" s="95"/>
      <c r="K74" s="95" t="str">
        <f t="shared" si="7"/>
        <v>PERMIAN BASIN &amp; BIG LAKE</v>
      </c>
      <c r="L74" s="95"/>
      <c r="M74" s="50">
        <f t="shared" si="8"/>
        <v>542</v>
      </c>
    </row>
    <row r="75" spans="1:13" x14ac:dyDescent="0.25">
      <c r="A75" s="51">
        <v>55</v>
      </c>
      <c r="B75" s="49" t="s">
        <v>63</v>
      </c>
      <c r="C75" s="95" t="str">
        <f t="shared" si="4"/>
        <v>Wier No 1 oil well</v>
      </c>
      <c r="D75" s="95"/>
      <c r="E75" s="95"/>
      <c r="F75" s="95"/>
      <c r="G75" s="95" t="str">
        <f t="shared" si="5"/>
        <v>Discovery Wells</v>
      </c>
      <c r="H75" s="95"/>
      <c r="I75" s="95" t="str">
        <f t="shared" si="6"/>
        <v>EQUIPMENT</v>
      </c>
      <c r="J75" s="95"/>
      <c r="K75" s="95" t="str">
        <f t="shared" si="7"/>
        <v>PERMIAN BASIN &amp; BIG LAKE</v>
      </c>
      <c r="L75" s="95"/>
      <c r="M75" s="50">
        <f t="shared" si="8"/>
        <v>306</v>
      </c>
    </row>
    <row r="76" spans="1:13" x14ac:dyDescent="0.25">
      <c r="A76" s="51">
        <v>56</v>
      </c>
      <c r="B76" s="49" t="s">
        <v>172</v>
      </c>
      <c r="C76" s="95" t="str">
        <f t="shared" si="4"/>
        <v>Iraan</v>
      </c>
      <c r="D76" s="95"/>
      <c r="E76" s="95"/>
      <c r="F76" s="95"/>
      <c r="G76" s="95" t="str">
        <f t="shared" si="5"/>
        <v>Oil Derricks</v>
      </c>
      <c r="H76" s="95"/>
      <c r="I76" s="95" t="str">
        <f t="shared" si="6"/>
        <v>OIL PRODUCTION</v>
      </c>
      <c r="J76" s="95"/>
      <c r="K76" s="95" t="str">
        <f t="shared" si="7"/>
        <v>PERMIAN BASIN &amp; BIG LAKE</v>
      </c>
      <c r="L76" s="95"/>
      <c r="M76" s="50">
        <f t="shared" si="8"/>
        <v>1991</v>
      </c>
    </row>
    <row r="77" spans="1:13" x14ac:dyDescent="0.25">
      <c r="A77" s="51">
        <v>57</v>
      </c>
      <c r="B77" s="49" t="s">
        <v>61</v>
      </c>
      <c r="C77" s="95" t="str">
        <f t="shared" si="4"/>
        <v>Rodman-Noel Oil field</v>
      </c>
      <c r="D77" s="95"/>
      <c r="E77" s="95"/>
      <c r="F77" s="95"/>
      <c r="G77" s="95" t="str">
        <f t="shared" si="5"/>
        <v>Discovery Wells</v>
      </c>
      <c r="H77" s="95"/>
      <c r="I77" s="95" t="str">
        <f t="shared" si="6"/>
        <v>EQUIPMENT</v>
      </c>
      <c r="J77" s="95"/>
      <c r="K77" s="95" t="str">
        <f t="shared" si="7"/>
        <v>PERMIAN BASIN &amp; BIG LAKE</v>
      </c>
      <c r="L77" s="95"/>
      <c r="M77" s="50">
        <f t="shared" si="8"/>
        <v>310</v>
      </c>
    </row>
    <row r="78" spans="1:13" x14ac:dyDescent="0.25">
      <c r="A78" s="51">
        <v>58</v>
      </c>
      <c r="B78" s="49" t="s">
        <v>145</v>
      </c>
      <c r="C78" s="95" t="str">
        <f t="shared" si="4"/>
        <v>TP Tavern</v>
      </c>
      <c r="D78" s="95"/>
      <c r="E78" s="95"/>
      <c r="F78" s="95"/>
      <c r="G78" s="95" t="str">
        <f t="shared" si="5"/>
        <v>Oil Towns</v>
      </c>
      <c r="H78" s="95"/>
      <c r="I78" s="95" t="str">
        <f t="shared" si="6"/>
        <v>LAND LEASES</v>
      </c>
      <c r="J78" s="95"/>
      <c r="K78" s="95" t="str">
        <f t="shared" si="7"/>
        <v>PERMIAN BASIN &amp; BIG LAKE</v>
      </c>
      <c r="L78" s="95"/>
      <c r="M78" s="50">
        <f t="shared" si="8"/>
        <v>714</v>
      </c>
    </row>
    <row r="79" spans="1:13" x14ac:dyDescent="0.25">
      <c r="A79" s="51">
        <v>59</v>
      </c>
      <c r="B79" s="49" t="s">
        <v>144</v>
      </c>
      <c r="C79" s="95" t="str">
        <f t="shared" si="4"/>
        <v>McCamey</v>
      </c>
      <c r="D79" s="95"/>
      <c r="E79" s="95"/>
      <c r="F79" s="95"/>
      <c r="G79" s="95" t="str">
        <f t="shared" si="5"/>
        <v>Oil Towns</v>
      </c>
      <c r="H79" s="95"/>
      <c r="I79" s="95" t="str">
        <f t="shared" si="6"/>
        <v>LAND LEASES</v>
      </c>
      <c r="J79" s="95"/>
      <c r="K79" s="95" t="str">
        <f t="shared" si="7"/>
        <v>PERMIAN BASIN &amp; BIG LAKE</v>
      </c>
      <c r="L79" s="95"/>
      <c r="M79" s="50">
        <f t="shared" si="8"/>
        <v>1779</v>
      </c>
    </row>
    <row r="80" spans="1:13" x14ac:dyDescent="0.25">
      <c r="A80" s="51">
        <v>60</v>
      </c>
      <c r="B80" s="49" t="s">
        <v>65</v>
      </c>
      <c r="C80" s="95" t="str">
        <f t="shared" si="4"/>
        <v>Church and Fields Oil Discovery Well</v>
      </c>
      <c r="D80" s="95"/>
      <c r="E80" s="95"/>
      <c r="F80" s="95"/>
      <c r="G80" s="95" t="str">
        <f t="shared" si="5"/>
        <v>Discovery Wells</v>
      </c>
      <c r="H80" s="95"/>
      <c r="I80" s="95" t="str">
        <f t="shared" si="6"/>
        <v>EQUIPMENT</v>
      </c>
      <c r="J80" s="95"/>
      <c r="K80" s="95" t="str">
        <f t="shared" si="7"/>
        <v>PERMIAN BASIN &amp; BIG LAKE</v>
      </c>
      <c r="L80" s="95"/>
      <c r="M80" s="50">
        <f t="shared" si="8"/>
        <v>326</v>
      </c>
    </row>
    <row r="81" spans="1:13" x14ac:dyDescent="0.25">
      <c r="A81" s="51">
        <v>61</v>
      </c>
      <c r="B81" s="49" t="s">
        <v>106</v>
      </c>
      <c r="C81" s="95" t="str">
        <f t="shared" si="4"/>
        <v>Ector County's First Dry Hole</v>
      </c>
      <c r="D81" s="95"/>
      <c r="E81" s="95"/>
      <c r="F81" s="95"/>
      <c r="G81" s="95" t="str">
        <f t="shared" si="5"/>
        <v>Mishaps</v>
      </c>
      <c r="H81" s="95"/>
      <c r="I81" s="95" t="str">
        <f t="shared" si="6"/>
        <v>LABOR/TRAINING</v>
      </c>
      <c r="J81" s="95"/>
      <c r="K81" s="95" t="str">
        <f t="shared" si="7"/>
        <v>PERMIAN BASIN &amp; BIG LAKE</v>
      </c>
      <c r="L81" s="95"/>
      <c r="M81" s="50">
        <f t="shared" si="8"/>
        <v>335</v>
      </c>
    </row>
    <row r="82" spans="1:13" x14ac:dyDescent="0.25">
      <c r="A82" s="51">
        <v>62</v>
      </c>
      <c r="B82" s="49" t="s">
        <v>148</v>
      </c>
      <c r="C82" s="95" t="str">
        <f t="shared" si="4"/>
        <v>Goldsmith</v>
      </c>
      <c r="D82" s="95"/>
      <c r="E82" s="95"/>
      <c r="F82" s="95"/>
      <c r="G82" s="95" t="str">
        <f t="shared" si="5"/>
        <v>Oil Towns</v>
      </c>
      <c r="H82" s="95"/>
      <c r="I82" s="95" t="str">
        <f t="shared" si="6"/>
        <v>LAND LEASES</v>
      </c>
      <c r="J82" s="95"/>
      <c r="K82" s="95" t="str">
        <f t="shared" si="7"/>
        <v>PERMIAN BASIN &amp; BIG LAKE</v>
      </c>
      <c r="L82" s="95"/>
      <c r="M82" s="50">
        <f t="shared" si="8"/>
        <v>1020</v>
      </c>
    </row>
    <row r="83" spans="1:13" x14ac:dyDescent="0.25">
      <c r="A83" s="51">
        <v>63</v>
      </c>
      <c r="B83" s="49" t="s">
        <v>143</v>
      </c>
      <c r="C83" s="95" t="str">
        <f t="shared" si="4"/>
        <v>Frankel City</v>
      </c>
      <c r="D83" s="95"/>
      <c r="E83" s="95"/>
      <c r="F83" s="95"/>
      <c r="G83" s="95" t="str">
        <f t="shared" si="5"/>
        <v>Oil Towns</v>
      </c>
      <c r="H83" s="95"/>
      <c r="I83" s="95" t="str">
        <f t="shared" si="6"/>
        <v>LAND LEASES</v>
      </c>
      <c r="J83" s="95"/>
      <c r="K83" s="95" t="str">
        <f t="shared" si="7"/>
        <v>PERMIAN BASIN &amp; BIG LAKE</v>
      </c>
      <c r="L83" s="95"/>
      <c r="M83" s="50">
        <f t="shared" si="8"/>
        <v>2238</v>
      </c>
    </row>
    <row r="84" spans="1:13" x14ac:dyDescent="0.25">
      <c r="A84" s="51">
        <v>64</v>
      </c>
      <c r="B84" s="49" t="s">
        <v>56</v>
      </c>
      <c r="C84" s="95" t="str">
        <f t="shared" si="4"/>
        <v>Andrews County Discovery Well</v>
      </c>
      <c r="D84" s="95"/>
      <c r="E84" s="95"/>
      <c r="F84" s="95"/>
      <c r="G84" s="95" t="str">
        <f t="shared" si="5"/>
        <v>Discovery Wells</v>
      </c>
      <c r="H84" s="95"/>
      <c r="I84" s="95" t="str">
        <f t="shared" si="6"/>
        <v>EQUIPMENT</v>
      </c>
      <c r="J84" s="95"/>
      <c r="K84" s="95" t="str">
        <f t="shared" si="7"/>
        <v>PERMIAN BASIN &amp; BIG LAKE</v>
      </c>
      <c r="L84" s="95"/>
      <c r="M84" s="50">
        <f t="shared" si="8"/>
        <v>347</v>
      </c>
    </row>
    <row r="85" spans="1:13" x14ac:dyDescent="0.25">
      <c r="A85" s="51">
        <v>65</v>
      </c>
      <c r="B85" s="49" t="s">
        <v>105</v>
      </c>
      <c r="C85" s="95" t="str">
        <f t="shared" si="4"/>
        <v>Denver City</v>
      </c>
      <c r="D85" s="95"/>
      <c r="E85" s="95"/>
      <c r="F85" s="95"/>
      <c r="G85" s="95" t="str">
        <f t="shared" si="5"/>
        <v>Mishaps</v>
      </c>
      <c r="H85" s="95"/>
      <c r="I85" s="95" t="str">
        <f t="shared" si="6"/>
        <v>LABOR/TRAINING</v>
      </c>
      <c r="J85" s="95"/>
      <c r="K85" s="95" t="str">
        <f t="shared" si="7"/>
        <v>PERMIAN BASIN &amp; BIG LAKE</v>
      </c>
      <c r="L85" s="95"/>
      <c r="M85" s="50">
        <f t="shared" si="8"/>
        <v>382</v>
      </c>
    </row>
    <row r="86" spans="1:13" x14ac:dyDescent="0.25">
      <c r="A86" s="51">
        <v>66</v>
      </c>
      <c r="B86" s="49" t="s">
        <v>58</v>
      </c>
      <c r="C86" s="95" t="str">
        <f t="shared" ref="C86:C135" si="9">IF($B86="","",VLOOKUP($B86,$A$166:$J$385,2,FALSE))</f>
        <v>Denver City - Wassom Field Discovery Well</v>
      </c>
      <c r="D86" s="95"/>
      <c r="E86" s="95"/>
      <c r="F86" s="95"/>
      <c r="G86" s="95" t="str">
        <f t="shared" ref="G86:G135" si="10">IF($B86="","",VLOOKUP($B86,$A$166:$J$385,8,FALSE))</f>
        <v>Discovery Wells</v>
      </c>
      <c r="H86" s="95"/>
      <c r="I86" s="95" t="str">
        <f t="shared" ref="I86:I135" si="11">IF($B86="","",VLOOKUP($B86,$A$166:$J$385,9,FALSE))</f>
        <v>EQUIPMENT</v>
      </c>
      <c r="J86" s="95"/>
      <c r="K86" s="95" t="str">
        <f t="shared" ref="K86:K135" si="12">IF($B86="","",VLOOKUP($B86,$A$166:$J$385,10,FALSE))</f>
        <v>PERMIAN BASIN &amp; BIG LAKE</v>
      </c>
      <c r="L86" s="95"/>
      <c r="M86" s="50">
        <f t="shared" ref="M86:M135" si="13">IF($B86="","",VLOOKUP($B86,$A$166:$J$385,7,FALSE))</f>
        <v>1790</v>
      </c>
    </row>
    <row r="87" spans="1:13" x14ac:dyDescent="0.25">
      <c r="A87" s="51">
        <v>67</v>
      </c>
      <c r="B87" s="49" t="s">
        <v>55</v>
      </c>
      <c r="C87" s="95" t="str">
        <f t="shared" si="9"/>
        <v>National Ranching Heritage Center</v>
      </c>
      <c r="D87" s="95"/>
      <c r="E87" s="95"/>
      <c r="F87" s="95"/>
      <c r="G87" s="95" t="str">
        <f t="shared" si="10"/>
        <v>Drilling Rigs</v>
      </c>
      <c r="H87" s="95"/>
      <c r="I87" s="95" t="str">
        <f t="shared" si="11"/>
        <v>EQUIPMENT</v>
      </c>
      <c r="J87" s="95"/>
      <c r="K87" s="95" t="str">
        <f t="shared" si="12"/>
        <v>PANHANDLE</v>
      </c>
      <c r="L87" s="95"/>
      <c r="M87" s="50">
        <f t="shared" si="13"/>
        <v>321</v>
      </c>
    </row>
    <row r="88" spans="1:13" x14ac:dyDescent="0.25">
      <c r="A88" s="51">
        <v>68</v>
      </c>
      <c r="B88" s="49" t="s">
        <v>171</v>
      </c>
      <c r="C88" s="95" t="str">
        <f t="shared" si="9"/>
        <v>Bob's Oil Well</v>
      </c>
      <c r="D88" s="95"/>
      <c r="E88" s="95"/>
      <c r="F88" s="95"/>
      <c r="G88" s="95" t="str">
        <f t="shared" si="10"/>
        <v>Oil Derricks</v>
      </c>
      <c r="H88" s="95"/>
      <c r="I88" s="95" t="str">
        <f t="shared" si="11"/>
        <v>OIL PRODUCTION</v>
      </c>
      <c r="J88" s="95"/>
      <c r="K88" s="95" t="str">
        <f t="shared" si="12"/>
        <v>PANHANDLE</v>
      </c>
      <c r="L88" s="95"/>
      <c r="M88" s="50">
        <f t="shared" si="13"/>
        <v>1494</v>
      </c>
    </row>
    <row r="89" spans="1:13" x14ac:dyDescent="0.25">
      <c r="A89" s="51">
        <v>69</v>
      </c>
      <c r="B89" s="49" t="s">
        <v>163</v>
      </c>
      <c r="C89" s="95" t="str">
        <f t="shared" si="9"/>
        <v>Electra Oil Derrick Picnic Spot</v>
      </c>
      <c r="D89" s="95"/>
      <c r="E89" s="95"/>
      <c r="F89" s="95"/>
      <c r="G89" s="95" t="str">
        <f t="shared" si="10"/>
        <v>Oil Derricks</v>
      </c>
      <c r="H89" s="95"/>
      <c r="I89" s="95" t="str">
        <f t="shared" si="11"/>
        <v>OIL PRODUCTION</v>
      </c>
      <c r="J89" s="95"/>
      <c r="K89" s="95" t="str">
        <f t="shared" si="12"/>
        <v>NORTH TEXAS</v>
      </c>
      <c r="L89" s="95"/>
      <c r="M89" s="50">
        <f t="shared" si="13"/>
        <v>1890</v>
      </c>
    </row>
    <row r="90" spans="1:13" x14ac:dyDescent="0.25">
      <c r="A90" s="51">
        <v>70</v>
      </c>
      <c r="B90" s="49" t="s">
        <v>122</v>
      </c>
      <c r="C90" s="95" t="str">
        <f t="shared" si="9"/>
        <v>Clara</v>
      </c>
      <c r="D90" s="95"/>
      <c r="E90" s="95"/>
      <c r="F90" s="95"/>
      <c r="G90" s="95" t="str">
        <f t="shared" si="10"/>
        <v>Oil Towns</v>
      </c>
      <c r="H90" s="95"/>
      <c r="I90" s="95" t="str">
        <f t="shared" si="11"/>
        <v>LAND LEASES</v>
      </c>
      <c r="J90" s="95"/>
      <c r="K90" s="95" t="str">
        <f t="shared" si="12"/>
        <v>NORTH TEXAS</v>
      </c>
      <c r="L90" s="95"/>
      <c r="M90" s="50">
        <f t="shared" si="13"/>
        <v>358</v>
      </c>
    </row>
    <row r="91" spans="1:13" x14ac:dyDescent="0.25">
      <c r="A91" s="51">
        <v>71</v>
      </c>
      <c r="B91" s="49" t="s">
        <v>125</v>
      </c>
      <c r="C91" s="95" t="str">
        <f t="shared" si="9"/>
        <v>Bridgetown</v>
      </c>
      <c r="D91" s="95"/>
      <c r="E91" s="95"/>
      <c r="F91" s="95"/>
      <c r="G91" s="95" t="str">
        <f t="shared" si="10"/>
        <v>Oil Towns</v>
      </c>
      <c r="H91" s="95"/>
      <c r="I91" s="95" t="str">
        <f t="shared" si="11"/>
        <v>LAND LEASES</v>
      </c>
      <c r="J91" s="95"/>
      <c r="K91" s="95" t="str">
        <f t="shared" si="12"/>
        <v>NORTH TEXAS</v>
      </c>
      <c r="L91" s="95"/>
      <c r="M91" s="50">
        <f t="shared" si="13"/>
        <v>358</v>
      </c>
    </row>
    <row r="92" spans="1:13" x14ac:dyDescent="0.25">
      <c r="A92" s="51">
        <v>72</v>
      </c>
      <c r="B92" s="49" t="s">
        <v>139</v>
      </c>
      <c r="C92" s="95" t="str">
        <f t="shared" si="9"/>
        <v>Thrift - Northwest Oilfield Extension</v>
      </c>
      <c r="D92" s="95"/>
      <c r="E92" s="95"/>
      <c r="F92" s="95"/>
      <c r="G92" s="95" t="str">
        <f t="shared" si="10"/>
        <v>Oil Towns</v>
      </c>
      <c r="H92" s="95"/>
      <c r="I92" s="95" t="str">
        <f t="shared" si="11"/>
        <v>LAND LEASES</v>
      </c>
      <c r="J92" s="95"/>
      <c r="K92" s="95" t="str">
        <f t="shared" si="12"/>
        <v>NORTH TEXAS</v>
      </c>
      <c r="L92" s="95"/>
      <c r="M92" s="50">
        <f t="shared" si="13"/>
        <v>355</v>
      </c>
    </row>
    <row r="93" spans="1:13" x14ac:dyDescent="0.25">
      <c r="A93" s="51">
        <v>73</v>
      </c>
      <c r="B93" s="49" t="s">
        <v>51</v>
      </c>
      <c r="C93" s="95" t="str">
        <f t="shared" si="9"/>
        <v>Felty Outdoor Oil Museum</v>
      </c>
      <c r="D93" s="95"/>
      <c r="E93" s="95"/>
      <c r="F93" s="95"/>
      <c r="G93" s="95" t="str">
        <f t="shared" si="10"/>
        <v>Drilling Rigs</v>
      </c>
      <c r="H93" s="95"/>
      <c r="I93" s="95" t="str">
        <f t="shared" si="11"/>
        <v>EQUIPMENT</v>
      </c>
      <c r="J93" s="95"/>
      <c r="K93" s="95" t="str">
        <f t="shared" si="12"/>
        <v>NORTH TEXAS</v>
      </c>
      <c r="L93" s="95"/>
      <c r="M93" s="50">
        <f t="shared" si="13"/>
        <v>196</v>
      </c>
    </row>
    <row r="94" spans="1:13" x14ac:dyDescent="0.25">
      <c r="A94" s="51">
        <v>74</v>
      </c>
      <c r="B94" s="49" t="s">
        <v>124</v>
      </c>
      <c r="C94" s="95" t="str">
        <f t="shared" si="9"/>
        <v>Burkburnett</v>
      </c>
      <c r="D94" s="95"/>
      <c r="E94" s="95"/>
      <c r="F94" s="95"/>
      <c r="G94" s="95" t="str">
        <f t="shared" si="10"/>
        <v>Oil Towns</v>
      </c>
      <c r="H94" s="95"/>
      <c r="I94" s="95" t="str">
        <f t="shared" si="11"/>
        <v>LAND LEASES</v>
      </c>
      <c r="J94" s="95"/>
      <c r="K94" s="95" t="str">
        <f t="shared" si="12"/>
        <v>NORTH TEXAS</v>
      </c>
      <c r="L94" s="95"/>
      <c r="M94" s="50">
        <f t="shared" si="13"/>
        <v>355</v>
      </c>
    </row>
    <row r="95" spans="1:13" x14ac:dyDescent="0.25">
      <c r="A95" s="51">
        <v>75</v>
      </c>
      <c r="B95" s="49" t="s">
        <v>164</v>
      </c>
      <c r="C95" s="95" t="str">
        <f t="shared" si="9"/>
        <v>Burkburnett Oil Derricks</v>
      </c>
      <c r="D95" s="95"/>
      <c r="E95" s="95"/>
      <c r="F95" s="95"/>
      <c r="G95" s="95" t="str">
        <f t="shared" si="10"/>
        <v>Oil Derricks</v>
      </c>
      <c r="H95" s="95"/>
      <c r="I95" s="95" t="str">
        <f t="shared" si="11"/>
        <v>OIL PRODUCTION</v>
      </c>
      <c r="J95" s="95"/>
      <c r="K95" s="95" t="str">
        <f t="shared" si="12"/>
        <v>NORTH TEXAS</v>
      </c>
      <c r="L95" s="95"/>
      <c r="M95" s="50">
        <f t="shared" si="13"/>
        <v>1195</v>
      </c>
    </row>
    <row r="96" spans="1:13" x14ac:dyDescent="0.25">
      <c r="A96" s="51">
        <v>76</v>
      </c>
      <c r="B96" s="49" t="s">
        <v>166</v>
      </c>
      <c r="C96" s="95" t="str">
        <f t="shared" si="9"/>
        <v>wichita falls oil derrick on bike wheel</v>
      </c>
      <c r="D96" s="95"/>
      <c r="E96" s="95"/>
      <c r="F96" s="95"/>
      <c r="G96" s="95" t="str">
        <f t="shared" si="10"/>
        <v>Oil Derricks</v>
      </c>
      <c r="H96" s="95"/>
      <c r="I96" s="95" t="str">
        <f t="shared" si="11"/>
        <v>OIL PRODUCTION</v>
      </c>
      <c r="J96" s="95"/>
      <c r="K96" s="95" t="str">
        <f t="shared" si="12"/>
        <v>NORTH TEXAS</v>
      </c>
      <c r="L96" s="95"/>
      <c r="M96" s="50">
        <f t="shared" si="13"/>
        <v>1191</v>
      </c>
    </row>
    <row r="97" spans="1:13" x14ac:dyDescent="0.25">
      <c r="A97" s="51">
        <v>77</v>
      </c>
      <c r="B97" s="49" t="s">
        <v>47</v>
      </c>
      <c r="C97" s="95" t="str">
        <f t="shared" si="9"/>
        <v>Petrolia</v>
      </c>
      <c r="D97" s="95"/>
      <c r="E97" s="95"/>
      <c r="F97" s="95"/>
      <c r="G97" s="95" t="str">
        <f t="shared" si="10"/>
        <v>Discovery Wells</v>
      </c>
      <c r="H97" s="95"/>
      <c r="I97" s="95" t="str">
        <f t="shared" si="11"/>
        <v>EQUIPMENT</v>
      </c>
      <c r="J97" s="95"/>
      <c r="K97" s="95" t="str">
        <f t="shared" si="12"/>
        <v>NORTH TEXAS</v>
      </c>
      <c r="L97" s="95"/>
      <c r="M97" s="50">
        <f t="shared" si="13"/>
        <v>1824</v>
      </c>
    </row>
    <row r="98" spans="1:13" x14ac:dyDescent="0.25">
      <c r="A98" s="51">
        <v>78</v>
      </c>
      <c r="B98" s="49" t="s">
        <v>52</v>
      </c>
      <c r="C98" s="95" t="str">
        <f t="shared" si="9"/>
        <v>Nocona - Tails n Trails Museum</v>
      </c>
      <c r="D98" s="95"/>
      <c r="E98" s="95"/>
      <c r="F98" s="95"/>
      <c r="G98" s="95" t="str">
        <f t="shared" si="10"/>
        <v>Drilling Rigs</v>
      </c>
      <c r="H98" s="95"/>
      <c r="I98" s="95" t="str">
        <f t="shared" si="11"/>
        <v>EQUIPMENT</v>
      </c>
      <c r="J98" s="95"/>
      <c r="K98" s="95" t="str">
        <f t="shared" si="12"/>
        <v>NORTH TEXAS</v>
      </c>
      <c r="L98" s="95"/>
      <c r="M98" s="50">
        <f t="shared" si="13"/>
        <v>28</v>
      </c>
    </row>
    <row r="99" spans="1:13" x14ac:dyDescent="0.25">
      <c r="A99" s="51">
        <v>79</v>
      </c>
      <c r="B99" s="49" t="s">
        <v>168</v>
      </c>
      <c r="C99" s="95" t="str">
        <f t="shared" si="9"/>
        <v>Oil Derricks roadside</v>
      </c>
      <c r="D99" s="95"/>
      <c r="E99" s="95"/>
      <c r="F99" s="95"/>
      <c r="G99" s="95" t="str">
        <f t="shared" si="10"/>
        <v>Oil Derricks</v>
      </c>
      <c r="H99" s="95"/>
      <c r="I99" s="95" t="str">
        <f t="shared" si="11"/>
        <v>OIL PRODUCTION</v>
      </c>
      <c r="J99" s="95"/>
      <c r="K99" s="95" t="str">
        <f t="shared" si="12"/>
        <v>NORTH TEXAS</v>
      </c>
      <c r="L99" s="95"/>
      <c r="M99" s="50">
        <f t="shared" si="13"/>
        <v>830</v>
      </c>
    </row>
    <row r="100" spans="1:13" x14ac:dyDescent="0.25">
      <c r="A100" s="51">
        <v>80</v>
      </c>
      <c r="B100" s="49" t="s">
        <v>178</v>
      </c>
      <c r="C100" s="95" t="str">
        <f t="shared" si="9"/>
        <v>Thursday Rest Bonus</v>
      </c>
      <c r="D100" s="95"/>
      <c r="E100" s="95"/>
      <c r="F100" s="95"/>
      <c r="G100" s="95" t="str">
        <f t="shared" si="10"/>
        <v>Rest Bonus</v>
      </c>
      <c r="H100" s="95"/>
      <c r="I100" s="95" t="str">
        <f t="shared" si="11"/>
        <v>--</v>
      </c>
      <c r="J100" s="95"/>
      <c r="K100" s="95" t="str">
        <f t="shared" si="12"/>
        <v>--</v>
      </c>
      <c r="L100" s="95"/>
      <c r="M100" s="50">
        <f t="shared" si="13"/>
        <v>0</v>
      </c>
    </row>
    <row r="101" spans="1:13" x14ac:dyDescent="0.25">
      <c r="A101" s="51">
        <v>81</v>
      </c>
      <c r="B101" s="49" t="s">
        <v>179</v>
      </c>
      <c r="C101" s="95" t="str">
        <f t="shared" si="9"/>
        <v>Friday Rest Bonus</v>
      </c>
      <c r="D101" s="95"/>
      <c r="E101" s="95"/>
      <c r="F101" s="95"/>
      <c r="G101" s="95" t="str">
        <f t="shared" si="10"/>
        <v>Rest Bonus</v>
      </c>
      <c r="H101" s="95"/>
      <c r="I101" s="95" t="str">
        <f t="shared" si="11"/>
        <v>--</v>
      </c>
      <c r="J101" s="95"/>
      <c r="K101" s="95" t="str">
        <f t="shared" si="12"/>
        <v>--</v>
      </c>
      <c r="L101" s="95"/>
      <c r="M101" s="50">
        <f t="shared" si="13"/>
        <v>0</v>
      </c>
    </row>
    <row r="102" spans="1:13" x14ac:dyDescent="0.25">
      <c r="A102" s="51">
        <v>82</v>
      </c>
      <c r="B102" s="49" t="s">
        <v>501</v>
      </c>
      <c r="C102" s="95" t="str">
        <f t="shared" si="9"/>
        <v>Mookie's Mesquite Patch BBQ</v>
      </c>
      <c r="D102" s="95"/>
      <c r="E102" s="95"/>
      <c r="F102" s="95"/>
      <c r="G102" s="95" t="str">
        <f t="shared" si="10"/>
        <v>Meal Bonus</v>
      </c>
      <c r="H102" s="95"/>
      <c r="I102" s="95" t="str">
        <f t="shared" si="11"/>
        <v>--</v>
      </c>
      <c r="J102" s="95"/>
      <c r="K102" s="95" t="str">
        <f t="shared" si="12"/>
        <v>--</v>
      </c>
      <c r="L102" s="95"/>
      <c r="M102" s="50">
        <f t="shared" si="13"/>
        <v>4000</v>
      </c>
    </row>
    <row r="103" spans="1:13" x14ac:dyDescent="0.25">
      <c r="A103" s="51">
        <v>83</v>
      </c>
      <c r="B103" s="49" t="s">
        <v>531</v>
      </c>
      <c r="C103" s="95" t="str">
        <f t="shared" si="9"/>
        <v>Texas Chili Parlor</v>
      </c>
      <c r="D103" s="95"/>
      <c r="E103" s="95"/>
      <c r="F103" s="95"/>
      <c r="G103" s="95" t="str">
        <f t="shared" si="10"/>
        <v>Meal Bonus</v>
      </c>
      <c r="H103" s="95"/>
      <c r="I103" s="95" t="str">
        <f t="shared" si="11"/>
        <v>--</v>
      </c>
      <c r="J103" s="95"/>
      <c r="K103" s="95" t="str">
        <f t="shared" si="12"/>
        <v>--</v>
      </c>
      <c r="L103" s="95"/>
      <c r="M103" s="50">
        <f t="shared" si="13"/>
        <v>1000</v>
      </c>
    </row>
    <row r="104" spans="1:13" x14ac:dyDescent="0.25">
      <c r="A104" s="51">
        <v>84</v>
      </c>
      <c r="B104" s="49" t="s">
        <v>536</v>
      </c>
      <c r="C104" s="95" t="str">
        <f t="shared" si="9"/>
        <v>Maxines on Main</v>
      </c>
      <c r="D104" s="95"/>
      <c r="E104" s="95"/>
      <c r="F104" s="95"/>
      <c r="G104" s="95" t="str">
        <f t="shared" si="10"/>
        <v>Meal Bonus</v>
      </c>
      <c r="H104" s="95"/>
      <c r="I104" s="95" t="str">
        <f t="shared" si="11"/>
        <v>--</v>
      </c>
      <c r="J104" s="95"/>
      <c r="K104" s="95" t="str">
        <f t="shared" si="12"/>
        <v>--</v>
      </c>
      <c r="L104" s="95"/>
      <c r="M104" s="50">
        <f t="shared" si="13"/>
        <v>0</v>
      </c>
    </row>
    <row r="105" spans="1:13" x14ac:dyDescent="0.25">
      <c r="A105" s="51">
        <v>85</v>
      </c>
      <c r="B105" s="49"/>
      <c r="C105" s="95" t="str">
        <f t="shared" si="9"/>
        <v/>
      </c>
      <c r="D105" s="95"/>
      <c r="E105" s="95"/>
      <c r="F105" s="95"/>
      <c r="G105" s="95" t="str">
        <f t="shared" si="10"/>
        <v/>
      </c>
      <c r="H105" s="95"/>
      <c r="I105" s="95" t="str">
        <f t="shared" si="11"/>
        <v/>
      </c>
      <c r="J105" s="95"/>
      <c r="K105" s="95" t="str">
        <f t="shared" si="12"/>
        <v/>
      </c>
      <c r="L105" s="95"/>
      <c r="M105" s="50" t="str">
        <f t="shared" si="13"/>
        <v/>
      </c>
    </row>
    <row r="106" spans="1:13" x14ac:dyDescent="0.25">
      <c r="A106" s="51">
        <v>86</v>
      </c>
      <c r="B106" s="49"/>
      <c r="C106" s="95" t="str">
        <f t="shared" si="9"/>
        <v/>
      </c>
      <c r="D106" s="95"/>
      <c r="E106" s="95"/>
      <c r="F106" s="95"/>
      <c r="G106" s="95" t="str">
        <f t="shared" si="10"/>
        <v/>
      </c>
      <c r="H106" s="95"/>
      <c r="I106" s="95" t="str">
        <f t="shared" si="11"/>
        <v/>
      </c>
      <c r="J106" s="95"/>
      <c r="K106" s="95" t="str">
        <f t="shared" si="12"/>
        <v/>
      </c>
      <c r="L106" s="95"/>
      <c r="M106" s="50" t="str">
        <f t="shared" si="13"/>
        <v/>
      </c>
    </row>
    <row r="107" spans="1:13" x14ac:dyDescent="0.25">
      <c r="A107" s="51">
        <v>87</v>
      </c>
      <c r="B107" s="49"/>
      <c r="C107" s="95" t="str">
        <f t="shared" si="9"/>
        <v/>
      </c>
      <c r="D107" s="95"/>
      <c r="E107" s="95"/>
      <c r="F107" s="95"/>
      <c r="G107" s="95" t="str">
        <f t="shared" si="10"/>
        <v/>
      </c>
      <c r="H107" s="95"/>
      <c r="I107" s="95" t="str">
        <f t="shared" si="11"/>
        <v/>
      </c>
      <c r="J107" s="95"/>
      <c r="K107" s="95" t="str">
        <f t="shared" si="12"/>
        <v/>
      </c>
      <c r="L107" s="95"/>
      <c r="M107" s="50" t="str">
        <f t="shared" si="13"/>
        <v/>
      </c>
    </row>
    <row r="108" spans="1:13" x14ac:dyDescent="0.25">
      <c r="A108" s="51">
        <v>88</v>
      </c>
      <c r="B108" s="49"/>
      <c r="C108" s="95" t="str">
        <f t="shared" si="9"/>
        <v/>
      </c>
      <c r="D108" s="95"/>
      <c r="E108" s="95"/>
      <c r="F108" s="95"/>
      <c r="G108" s="95" t="str">
        <f t="shared" si="10"/>
        <v/>
      </c>
      <c r="H108" s="95"/>
      <c r="I108" s="95" t="str">
        <f t="shared" si="11"/>
        <v/>
      </c>
      <c r="J108" s="95"/>
      <c r="K108" s="95" t="str">
        <f t="shared" si="12"/>
        <v/>
      </c>
      <c r="L108" s="95"/>
      <c r="M108" s="50" t="str">
        <f t="shared" si="13"/>
        <v/>
      </c>
    </row>
    <row r="109" spans="1:13" x14ac:dyDescent="0.25">
      <c r="A109" s="51">
        <v>89</v>
      </c>
      <c r="B109" s="49"/>
      <c r="C109" s="95" t="str">
        <f t="shared" si="9"/>
        <v/>
      </c>
      <c r="D109" s="95"/>
      <c r="E109" s="95"/>
      <c r="F109" s="95"/>
      <c r="G109" s="95" t="str">
        <f t="shared" si="10"/>
        <v/>
      </c>
      <c r="H109" s="95"/>
      <c r="I109" s="95" t="str">
        <f t="shared" si="11"/>
        <v/>
      </c>
      <c r="J109" s="95"/>
      <c r="K109" s="95" t="str">
        <f t="shared" si="12"/>
        <v/>
      </c>
      <c r="L109" s="95"/>
      <c r="M109" s="50" t="str">
        <f t="shared" si="13"/>
        <v/>
      </c>
    </row>
    <row r="110" spans="1:13" x14ac:dyDescent="0.25">
      <c r="A110" s="51">
        <v>90</v>
      </c>
      <c r="B110" s="49"/>
      <c r="C110" s="95" t="str">
        <f t="shared" si="9"/>
        <v/>
      </c>
      <c r="D110" s="95"/>
      <c r="E110" s="95"/>
      <c r="F110" s="95"/>
      <c r="G110" s="95" t="str">
        <f t="shared" si="10"/>
        <v/>
      </c>
      <c r="H110" s="95"/>
      <c r="I110" s="95" t="str">
        <f t="shared" si="11"/>
        <v/>
      </c>
      <c r="J110" s="95"/>
      <c r="K110" s="95" t="str">
        <f t="shared" si="12"/>
        <v/>
      </c>
      <c r="L110" s="95"/>
      <c r="M110" s="50" t="str">
        <f t="shared" si="13"/>
        <v/>
      </c>
    </row>
    <row r="111" spans="1:13" x14ac:dyDescent="0.25">
      <c r="A111" s="51">
        <v>91</v>
      </c>
      <c r="B111" s="49"/>
      <c r="C111" s="95" t="str">
        <f t="shared" si="9"/>
        <v/>
      </c>
      <c r="D111" s="95"/>
      <c r="E111" s="95"/>
      <c r="F111" s="95"/>
      <c r="G111" s="95" t="str">
        <f t="shared" si="10"/>
        <v/>
      </c>
      <c r="H111" s="95"/>
      <c r="I111" s="95" t="str">
        <f t="shared" si="11"/>
        <v/>
      </c>
      <c r="J111" s="95"/>
      <c r="K111" s="95" t="str">
        <f t="shared" si="12"/>
        <v/>
      </c>
      <c r="L111" s="95"/>
      <c r="M111" s="50" t="str">
        <f t="shared" si="13"/>
        <v/>
      </c>
    </row>
    <row r="112" spans="1:13" x14ac:dyDescent="0.25">
      <c r="A112" s="51">
        <v>92</v>
      </c>
      <c r="B112" s="49"/>
      <c r="C112" s="95" t="str">
        <f t="shared" si="9"/>
        <v/>
      </c>
      <c r="D112" s="95"/>
      <c r="E112" s="95"/>
      <c r="F112" s="95"/>
      <c r="G112" s="95" t="str">
        <f t="shared" si="10"/>
        <v/>
      </c>
      <c r="H112" s="95"/>
      <c r="I112" s="95" t="str">
        <f t="shared" si="11"/>
        <v/>
      </c>
      <c r="J112" s="95"/>
      <c r="K112" s="95" t="str">
        <f t="shared" si="12"/>
        <v/>
      </c>
      <c r="L112" s="95"/>
      <c r="M112" s="50" t="str">
        <f t="shared" si="13"/>
        <v/>
      </c>
    </row>
    <row r="113" spans="1:13" x14ac:dyDescent="0.25">
      <c r="A113" s="51">
        <v>93</v>
      </c>
      <c r="B113" s="49"/>
      <c r="C113" s="95" t="str">
        <f t="shared" si="9"/>
        <v/>
      </c>
      <c r="D113" s="95"/>
      <c r="E113" s="95"/>
      <c r="F113" s="95"/>
      <c r="G113" s="95" t="str">
        <f t="shared" si="10"/>
        <v/>
      </c>
      <c r="H113" s="95"/>
      <c r="I113" s="95" t="str">
        <f t="shared" si="11"/>
        <v/>
      </c>
      <c r="J113" s="95"/>
      <c r="K113" s="95" t="str">
        <f t="shared" si="12"/>
        <v/>
      </c>
      <c r="L113" s="95"/>
      <c r="M113" s="50" t="str">
        <f t="shared" si="13"/>
        <v/>
      </c>
    </row>
    <row r="114" spans="1:13" x14ac:dyDescent="0.25">
      <c r="A114" s="51">
        <v>94</v>
      </c>
      <c r="B114" s="49"/>
      <c r="C114" s="95" t="str">
        <f t="shared" si="9"/>
        <v/>
      </c>
      <c r="D114" s="95"/>
      <c r="E114" s="95"/>
      <c r="F114" s="95"/>
      <c r="G114" s="95" t="str">
        <f t="shared" si="10"/>
        <v/>
      </c>
      <c r="H114" s="95"/>
      <c r="I114" s="95" t="str">
        <f t="shared" si="11"/>
        <v/>
      </c>
      <c r="J114" s="95"/>
      <c r="K114" s="95" t="str">
        <f t="shared" si="12"/>
        <v/>
      </c>
      <c r="L114" s="95"/>
      <c r="M114" s="50" t="str">
        <f t="shared" si="13"/>
        <v/>
      </c>
    </row>
    <row r="115" spans="1:13" x14ac:dyDescent="0.25">
      <c r="A115" s="51">
        <v>95</v>
      </c>
      <c r="B115" s="49"/>
      <c r="C115" s="95" t="str">
        <f t="shared" si="9"/>
        <v/>
      </c>
      <c r="D115" s="95"/>
      <c r="E115" s="95"/>
      <c r="F115" s="95"/>
      <c r="G115" s="95" t="str">
        <f t="shared" si="10"/>
        <v/>
      </c>
      <c r="H115" s="95"/>
      <c r="I115" s="95" t="str">
        <f t="shared" si="11"/>
        <v/>
      </c>
      <c r="J115" s="95"/>
      <c r="K115" s="95" t="str">
        <f t="shared" si="12"/>
        <v/>
      </c>
      <c r="L115" s="95"/>
      <c r="M115" s="50" t="str">
        <f t="shared" si="13"/>
        <v/>
      </c>
    </row>
    <row r="116" spans="1:13" x14ac:dyDescent="0.25">
      <c r="A116" s="51">
        <v>96</v>
      </c>
      <c r="B116" s="49"/>
      <c r="C116" s="95" t="str">
        <f t="shared" si="9"/>
        <v/>
      </c>
      <c r="D116" s="95"/>
      <c r="E116" s="95"/>
      <c r="F116" s="95"/>
      <c r="G116" s="95" t="str">
        <f t="shared" si="10"/>
        <v/>
      </c>
      <c r="H116" s="95"/>
      <c r="I116" s="95" t="str">
        <f t="shared" si="11"/>
        <v/>
      </c>
      <c r="J116" s="95"/>
      <c r="K116" s="95" t="str">
        <f t="shared" si="12"/>
        <v/>
      </c>
      <c r="L116" s="95"/>
      <c r="M116" s="50" t="str">
        <f t="shared" si="13"/>
        <v/>
      </c>
    </row>
    <row r="117" spans="1:13" x14ac:dyDescent="0.25">
      <c r="A117" s="51">
        <v>97</v>
      </c>
      <c r="B117" s="49"/>
      <c r="C117" s="95" t="str">
        <f t="shared" si="9"/>
        <v/>
      </c>
      <c r="D117" s="95"/>
      <c r="E117" s="95"/>
      <c r="F117" s="95"/>
      <c r="G117" s="95" t="str">
        <f t="shared" si="10"/>
        <v/>
      </c>
      <c r="H117" s="95"/>
      <c r="I117" s="95" t="str">
        <f t="shared" si="11"/>
        <v/>
      </c>
      <c r="J117" s="95"/>
      <c r="K117" s="95" t="str">
        <f t="shared" si="12"/>
        <v/>
      </c>
      <c r="L117" s="95"/>
      <c r="M117" s="50" t="str">
        <f t="shared" si="13"/>
        <v/>
      </c>
    </row>
    <row r="118" spans="1:13" x14ac:dyDescent="0.25">
      <c r="A118" s="51">
        <v>98</v>
      </c>
      <c r="B118" s="49"/>
      <c r="C118" s="95" t="str">
        <f t="shared" si="9"/>
        <v/>
      </c>
      <c r="D118" s="95"/>
      <c r="E118" s="95"/>
      <c r="F118" s="95"/>
      <c r="G118" s="95" t="str">
        <f t="shared" si="10"/>
        <v/>
      </c>
      <c r="H118" s="95"/>
      <c r="I118" s="95" t="str">
        <f t="shared" si="11"/>
        <v/>
      </c>
      <c r="J118" s="95"/>
      <c r="K118" s="95" t="str">
        <f t="shared" si="12"/>
        <v/>
      </c>
      <c r="L118" s="95"/>
      <c r="M118" s="50" t="str">
        <f t="shared" si="13"/>
        <v/>
      </c>
    </row>
    <row r="119" spans="1:13" x14ac:dyDescent="0.25">
      <c r="A119" s="51">
        <v>99</v>
      </c>
      <c r="B119" s="49"/>
      <c r="C119" s="95" t="str">
        <f t="shared" si="9"/>
        <v/>
      </c>
      <c r="D119" s="95"/>
      <c r="E119" s="95"/>
      <c r="F119" s="95"/>
      <c r="G119" s="95" t="str">
        <f t="shared" si="10"/>
        <v/>
      </c>
      <c r="H119" s="95"/>
      <c r="I119" s="95" t="str">
        <f t="shared" si="11"/>
        <v/>
      </c>
      <c r="J119" s="95"/>
      <c r="K119" s="95" t="str">
        <f t="shared" si="12"/>
        <v/>
      </c>
      <c r="L119" s="95"/>
      <c r="M119" s="50" t="str">
        <f t="shared" si="13"/>
        <v/>
      </c>
    </row>
    <row r="120" spans="1:13" x14ac:dyDescent="0.25">
      <c r="A120" s="51">
        <v>100</v>
      </c>
      <c r="B120" s="49"/>
      <c r="C120" s="95" t="str">
        <f t="shared" si="9"/>
        <v/>
      </c>
      <c r="D120" s="95"/>
      <c r="E120" s="95"/>
      <c r="F120" s="95"/>
      <c r="G120" s="95" t="str">
        <f t="shared" si="10"/>
        <v/>
      </c>
      <c r="H120" s="95"/>
      <c r="I120" s="95" t="str">
        <f t="shared" si="11"/>
        <v/>
      </c>
      <c r="J120" s="95"/>
      <c r="K120" s="95" t="str">
        <f t="shared" si="12"/>
        <v/>
      </c>
      <c r="L120" s="95"/>
      <c r="M120" s="50" t="str">
        <f t="shared" si="13"/>
        <v/>
      </c>
    </row>
    <row r="121" spans="1:13" x14ac:dyDescent="0.25">
      <c r="A121" s="51">
        <v>101</v>
      </c>
      <c r="B121" s="49"/>
      <c r="C121" s="95" t="str">
        <f t="shared" si="9"/>
        <v/>
      </c>
      <c r="D121" s="95"/>
      <c r="E121" s="95"/>
      <c r="F121" s="95"/>
      <c r="G121" s="95" t="str">
        <f t="shared" si="10"/>
        <v/>
      </c>
      <c r="H121" s="95"/>
      <c r="I121" s="95" t="str">
        <f t="shared" si="11"/>
        <v/>
      </c>
      <c r="J121" s="95"/>
      <c r="K121" s="95" t="str">
        <f t="shared" si="12"/>
        <v/>
      </c>
      <c r="L121" s="95"/>
      <c r="M121" s="50" t="str">
        <f t="shared" si="13"/>
        <v/>
      </c>
    </row>
    <row r="122" spans="1:13" x14ac:dyDescent="0.25">
      <c r="A122" s="51">
        <v>102</v>
      </c>
      <c r="B122" s="49"/>
      <c r="C122" s="95" t="str">
        <f t="shared" si="9"/>
        <v/>
      </c>
      <c r="D122" s="95"/>
      <c r="E122" s="95"/>
      <c r="F122" s="95"/>
      <c r="G122" s="95" t="str">
        <f t="shared" si="10"/>
        <v/>
      </c>
      <c r="H122" s="95"/>
      <c r="I122" s="95" t="str">
        <f t="shared" si="11"/>
        <v/>
      </c>
      <c r="J122" s="95"/>
      <c r="K122" s="95" t="str">
        <f t="shared" si="12"/>
        <v/>
      </c>
      <c r="L122" s="95"/>
      <c r="M122" s="50" t="str">
        <f t="shared" si="13"/>
        <v/>
      </c>
    </row>
    <row r="123" spans="1:13" x14ac:dyDescent="0.25">
      <c r="A123" s="51">
        <v>103</v>
      </c>
      <c r="B123" s="49"/>
      <c r="C123" s="95" t="str">
        <f t="shared" si="9"/>
        <v/>
      </c>
      <c r="D123" s="95"/>
      <c r="E123" s="95"/>
      <c r="F123" s="95"/>
      <c r="G123" s="95" t="str">
        <f t="shared" si="10"/>
        <v/>
      </c>
      <c r="H123" s="95"/>
      <c r="I123" s="95" t="str">
        <f t="shared" si="11"/>
        <v/>
      </c>
      <c r="J123" s="95"/>
      <c r="K123" s="95" t="str">
        <f t="shared" si="12"/>
        <v/>
      </c>
      <c r="L123" s="95"/>
      <c r="M123" s="50" t="str">
        <f t="shared" si="13"/>
        <v/>
      </c>
    </row>
    <row r="124" spans="1:13" x14ac:dyDescent="0.25">
      <c r="A124" s="51">
        <v>104</v>
      </c>
      <c r="B124" s="49"/>
      <c r="C124" s="95" t="str">
        <f t="shared" si="9"/>
        <v/>
      </c>
      <c r="D124" s="95"/>
      <c r="E124" s="95"/>
      <c r="F124" s="95"/>
      <c r="G124" s="95" t="str">
        <f t="shared" si="10"/>
        <v/>
      </c>
      <c r="H124" s="95"/>
      <c r="I124" s="95" t="str">
        <f t="shared" si="11"/>
        <v/>
      </c>
      <c r="J124" s="95"/>
      <c r="K124" s="95" t="str">
        <f t="shared" si="12"/>
        <v/>
      </c>
      <c r="L124" s="95"/>
      <c r="M124" s="50" t="str">
        <f t="shared" si="13"/>
        <v/>
      </c>
    </row>
    <row r="125" spans="1:13" x14ac:dyDescent="0.25">
      <c r="A125" s="51">
        <v>105</v>
      </c>
      <c r="B125" s="49"/>
      <c r="C125" s="95" t="str">
        <f t="shared" si="9"/>
        <v/>
      </c>
      <c r="D125" s="95"/>
      <c r="E125" s="95"/>
      <c r="F125" s="95"/>
      <c r="G125" s="95" t="str">
        <f t="shared" si="10"/>
        <v/>
      </c>
      <c r="H125" s="95"/>
      <c r="I125" s="95" t="str">
        <f t="shared" si="11"/>
        <v/>
      </c>
      <c r="J125" s="95"/>
      <c r="K125" s="95" t="str">
        <f t="shared" si="12"/>
        <v/>
      </c>
      <c r="L125" s="95"/>
      <c r="M125" s="50" t="str">
        <f t="shared" si="13"/>
        <v/>
      </c>
    </row>
    <row r="126" spans="1:13" x14ac:dyDescent="0.25">
      <c r="A126" s="51">
        <v>106</v>
      </c>
      <c r="B126" s="49"/>
      <c r="C126" s="95" t="str">
        <f t="shared" si="9"/>
        <v/>
      </c>
      <c r="D126" s="95"/>
      <c r="E126" s="95"/>
      <c r="F126" s="95"/>
      <c r="G126" s="95" t="str">
        <f t="shared" si="10"/>
        <v/>
      </c>
      <c r="H126" s="95"/>
      <c r="I126" s="95" t="str">
        <f t="shared" si="11"/>
        <v/>
      </c>
      <c r="J126" s="95"/>
      <c r="K126" s="95" t="str">
        <f t="shared" si="12"/>
        <v/>
      </c>
      <c r="L126" s="95"/>
      <c r="M126" s="50" t="str">
        <f t="shared" si="13"/>
        <v/>
      </c>
    </row>
    <row r="127" spans="1:13" x14ac:dyDescent="0.25">
      <c r="A127" s="51">
        <v>107</v>
      </c>
      <c r="B127" s="49"/>
      <c r="C127" s="95" t="str">
        <f t="shared" si="9"/>
        <v/>
      </c>
      <c r="D127" s="95"/>
      <c r="E127" s="95"/>
      <c r="F127" s="95"/>
      <c r="G127" s="95" t="str">
        <f t="shared" si="10"/>
        <v/>
      </c>
      <c r="H127" s="95"/>
      <c r="I127" s="95" t="str">
        <f t="shared" si="11"/>
        <v/>
      </c>
      <c r="J127" s="95"/>
      <c r="K127" s="95" t="str">
        <f t="shared" si="12"/>
        <v/>
      </c>
      <c r="L127" s="95"/>
      <c r="M127" s="50" t="str">
        <f t="shared" si="13"/>
        <v/>
      </c>
    </row>
    <row r="128" spans="1:13" x14ac:dyDescent="0.25">
      <c r="A128" s="51">
        <v>108</v>
      </c>
      <c r="B128" s="49"/>
      <c r="C128" s="95" t="str">
        <f t="shared" si="9"/>
        <v/>
      </c>
      <c r="D128" s="95"/>
      <c r="E128" s="95"/>
      <c r="F128" s="95"/>
      <c r="G128" s="95" t="str">
        <f t="shared" si="10"/>
        <v/>
      </c>
      <c r="H128" s="95"/>
      <c r="I128" s="95" t="str">
        <f t="shared" si="11"/>
        <v/>
      </c>
      <c r="J128" s="95"/>
      <c r="K128" s="95" t="str">
        <f t="shared" si="12"/>
        <v/>
      </c>
      <c r="L128" s="95"/>
      <c r="M128" s="50" t="str">
        <f t="shared" si="13"/>
        <v/>
      </c>
    </row>
    <row r="129" spans="1:13" x14ac:dyDescent="0.25">
      <c r="A129" s="51">
        <v>109</v>
      </c>
      <c r="B129" s="49"/>
      <c r="C129" s="95" t="str">
        <f t="shared" si="9"/>
        <v/>
      </c>
      <c r="D129" s="95"/>
      <c r="E129" s="95"/>
      <c r="F129" s="95"/>
      <c r="G129" s="95" t="str">
        <f t="shared" si="10"/>
        <v/>
      </c>
      <c r="H129" s="95"/>
      <c r="I129" s="95" t="str">
        <f t="shared" si="11"/>
        <v/>
      </c>
      <c r="J129" s="95"/>
      <c r="K129" s="95" t="str">
        <f t="shared" si="12"/>
        <v/>
      </c>
      <c r="L129" s="95"/>
      <c r="M129" s="50" t="str">
        <f t="shared" si="13"/>
        <v/>
      </c>
    </row>
    <row r="130" spans="1:13" x14ac:dyDescent="0.25">
      <c r="A130" s="51">
        <v>110</v>
      </c>
      <c r="B130" s="49"/>
      <c r="C130" s="95" t="str">
        <f t="shared" si="9"/>
        <v/>
      </c>
      <c r="D130" s="95"/>
      <c r="E130" s="95"/>
      <c r="F130" s="95"/>
      <c r="G130" s="95" t="str">
        <f t="shared" si="10"/>
        <v/>
      </c>
      <c r="H130" s="95"/>
      <c r="I130" s="95" t="str">
        <f t="shared" si="11"/>
        <v/>
      </c>
      <c r="J130" s="95"/>
      <c r="K130" s="95" t="str">
        <f t="shared" si="12"/>
        <v/>
      </c>
      <c r="L130" s="95"/>
      <c r="M130" s="50" t="str">
        <f t="shared" si="13"/>
        <v/>
      </c>
    </row>
    <row r="131" spans="1:13" x14ac:dyDescent="0.25">
      <c r="A131" s="51">
        <v>111</v>
      </c>
      <c r="B131" s="49"/>
      <c r="C131" s="95" t="str">
        <f t="shared" si="9"/>
        <v/>
      </c>
      <c r="D131" s="95"/>
      <c r="E131" s="95"/>
      <c r="F131" s="95"/>
      <c r="G131" s="95" t="str">
        <f t="shared" si="10"/>
        <v/>
      </c>
      <c r="H131" s="95"/>
      <c r="I131" s="95" t="str">
        <f t="shared" si="11"/>
        <v/>
      </c>
      <c r="J131" s="95"/>
      <c r="K131" s="95" t="str">
        <f t="shared" si="12"/>
        <v/>
      </c>
      <c r="L131" s="95"/>
      <c r="M131" s="50" t="str">
        <f t="shared" si="13"/>
        <v/>
      </c>
    </row>
    <row r="132" spans="1:13" x14ac:dyDescent="0.25">
      <c r="A132" s="51">
        <v>112</v>
      </c>
      <c r="B132" s="49"/>
      <c r="C132" s="95" t="str">
        <f t="shared" si="9"/>
        <v/>
      </c>
      <c r="D132" s="95"/>
      <c r="E132" s="95"/>
      <c r="F132" s="95"/>
      <c r="G132" s="95" t="str">
        <f t="shared" si="10"/>
        <v/>
      </c>
      <c r="H132" s="95"/>
      <c r="I132" s="95" t="str">
        <f t="shared" si="11"/>
        <v/>
      </c>
      <c r="J132" s="95"/>
      <c r="K132" s="95" t="str">
        <f t="shared" si="12"/>
        <v/>
      </c>
      <c r="L132" s="95"/>
      <c r="M132" s="50" t="str">
        <f t="shared" si="13"/>
        <v/>
      </c>
    </row>
    <row r="133" spans="1:13" x14ac:dyDescent="0.25">
      <c r="A133" s="51">
        <v>113</v>
      </c>
      <c r="B133" s="49"/>
      <c r="C133" s="95" t="str">
        <f t="shared" si="9"/>
        <v/>
      </c>
      <c r="D133" s="95"/>
      <c r="E133" s="95"/>
      <c r="F133" s="95"/>
      <c r="G133" s="95" t="str">
        <f t="shared" si="10"/>
        <v/>
      </c>
      <c r="H133" s="95"/>
      <c r="I133" s="95" t="str">
        <f t="shared" si="11"/>
        <v/>
      </c>
      <c r="J133" s="95"/>
      <c r="K133" s="95" t="str">
        <f t="shared" si="12"/>
        <v/>
      </c>
      <c r="L133" s="95"/>
      <c r="M133" s="50" t="str">
        <f t="shared" si="13"/>
        <v/>
      </c>
    </row>
    <row r="134" spans="1:13" x14ac:dyDescent="0.25">
      <c r="A134" s="51">
        <v>114</v>
      </c>
      <c r="B134" s="49"/>
      <c r="C134" s="95" t="str">
        <f t="shared" si="9"/>
        <v/>
      </c>
      <c r="D134" s="95"/>
      <c r="E134" s="95"/>
      <c r="F134" s="95"/>
      <c r="G134" s="95" t="str">
        <f t="shared" si="10"/>
        <v/>
      </c>
      <c r="H134" s="95"/>
      <c r="I134" s="95" t="str">
        <f t="shared" si="11"/>
        <v/>
      </c>
      <c r="J134" s="95"/>
      <c r="K134" s="95" t="str">
        <f t="shared" si="12"/>
        <v/>
      </c>
      <c r="L134" s="95"/>
      <c r="M134" s="50" t="str">
        <f t="shared" si="13"/>
        <v/>
      </c>
    </row>
    <row r="135" spans="1:13" x14ac:dyDescent="0.25">
      <c r="A135" s="51">
        <v>115</v>
      </c>
      <c r="B135" s="49"/>
      <c r="C135" s="95" t="str">
        <f t="shared" si="9"/>
        <v/>
      </c>
      <c r="D135" s="95"/>
      <c r="E135" s="95"/>
      <c r="F135" s="95"/>
      <c r="G135" s="95" t="str">
        <f t="shared" si="10"/>
        <v/>
      </c>
      <c r="H135" s="95"/>
      <c r="I135" s="95" t="str">
        <f t="shared" si="11"/>
        <v/>
      </c>
      <c r="J135" s="95"/>
      <c r="K135" s="95" t="str">
        <f t="shared" si="12"/>
        <v/>
      </c>
      <c r="L135" s="95"/>
      <c r="M135" s="50" t="str">
        <f t="shared" si="13"/>
        <v/>
      </c>
    </row>
    <row r="140" spans="1:13" x14ac:dyDescent="0.25">
      <c r="D140" t="s">
        <v>1100</v>
      </c>
      <c r="I140" s="40" t="s">
        <v>1102</v>
      </c>
      <c r="J140" s="40" t="s">
        <v>10</v>
      </c>
      <c r="K140" s="40" t="s">
        <v>1101</v>
      </c>
      <c r="L140" s="40" t="s">
        <v>1103</v>
      </c>
    </row>
    <row r="141" spans="1:13" x14ac:dyDescent="0.25">
      <c r="A141" t="s">
        <v>1070</v>
      </c>
      <c r="B141" t="s">
        <v>344</v>
      </c>
      <c r="D141">
        <f>'SCORE(1)'!D176</f>
        <v>28</v>
      </c>
      <c r="I141">
        <v>280</v>
      </c>
      <c r="J141">
        <v>6000</v>
      </c>
      <c r="K141">
        <f>'SCORE(1)'!K176</f>
        <v>0</v>
      </c>
      <c r="L141">
        <f>IF(D141=K141,J141,0)</f>
        <v>0</v>
      </c>
    </row>
    <row r="142" spans="1:13" x14ac:dyDescent="0.25">
      <c r="A142" t="s">
        <v>1070</v>
      </c>
      <c r="B142" t="s">
        <v>333</v>
      </c>
      <c r="D142">
        <f>'SCORE(1)'!D177</f>
        <v>42</v>
      </c>
      <c r="I142">
        <v>420</v>
      </c>
      <c r="J142">
        <v>1000</v>
      </c>
      <c r="K142">
        <f>'SCORE(1)'!K177</f>
        <v>0</v>
      </c>
      <c r="L142">
        <f t="shared" ref="L142:L161" si="14">IF(D142=K142,J142,0)</f>
        <v>0</v>
      </c>
    </row>
    <row r="143" spans="1:13" x14ac:dyDescent="0.25">
      <c r="A143" t="s">
        <v>1070</v>
      </c>
      <c r="B143" t="s">
        <v>342</v>
      </c>
      <c r="D143">
        <f>'SCORE(1)'!D178</f>
        <v>37</v>
      </c>
      <c r="I143">
        <v>380</v>
      </c>
      <c r="J143">
        <v>5500</v>
      </c>
      <c r="K143">
        <f>'SCORE(1)'!K178</f>
        <v>0</v>
      </c>
      <c r="L143">
        <f t="shared" si="14"/>
        <v>0</v>
      </c>
    </row>
    <row r="144" spans="1:13" x14ac:dyDescent="0.25">
      <c r="A144" t="s">
        <v>1070</v>
      </c>
      <c r="B144" t="s">
        <v>343</v>
      </c>
      <c r="D144">
        <f>'SCORE(1)'!D179</f>
        <v>38</v>
      </c>
      <c r="I144">
        <v>380</v>
      </c>
      <c r="J144">
        <v>8000</v>
      </c>
      <c r="K144">
        <f>'SCORE(1)'!K179</f>
        <v>0</v>
      </c>
      <c r="L144">
        <f t="shared" si="14"/>
        <v>0</v>
      </c>
    </row>
    <row r="145" spans="1:12" x14ac:dyDescent="0.25">
      <c r="A145" t="s">
        <v>1070</v>
      </c>
      <c r="B145" t="s">
        <v>12</v>
      </c>
      <c r="D145">
        <f>'SCORE(1)'!D180</f>
        <v>28</v>
      </c>
      <c r="I145">
        <v>280</v>
      </c>
      <c r="J145">
        <v>0</v>
      </c>
      <c r="K145">
        <f>'SCORE(1)'!K180</f>
        <v>0</v>
      </c>
      <c r="L145">
        <f t="shared" si="14"/>
        <v>0</v>
      </c>
    </row>
    <row r="146" spans="1:12" x14ac:dyDescent="0.25">
      <c r="A146" t="s">
        <v>1070</v>
      </c>
      <c r="B146" t="s">
        <v>13</v>
      </c>
      <c r="D146">
        <f>'SCORE(1)'!D181</f>
        <v>32</v>
      </c>
      <c r="I146">
        <v>320</v>
      </c>
      <c r="J146">
        <v>5000</v>
      </c>
      <c r="K146">
        <f>'SCORE(1)'!K181</f>
        <v>0</v>
      </c>
      <c r="L146">
        <f t="shared" si="14"/>
        <v>0</v>
      </c>
    </row>
    <row r="147" spans="1:12" x14ac:dyDescent="0.25">
      <c r="A147" t="s">
        <v>1070</v>
      </c>
      <c r="B147" t="s">
        <v>14</v>
      </c>
      <c r="D147">
        <f>'SCORE(1)'!D182</f>
        <v>8</v>
      </c>
      <c r="I147">
        <v>80</v>
      </c>
      <c r="J147">
        <v>5000</v>
      </c>
      <c r="K147">
        <f>'SCORE(1)'!K182</f>
        <v>0</v>
      </c>
      <c r="L147">
        <f t="shared" si="14"/>
        <v>0</v>
      </c>
    </row>
    <row r="148" spans="1:12" x14ac:dyDescent="0.25">
      <c r="A148" t="s">
        <v>1070</v>
      </c>
      <c r="B148" t="s">
        <v>16</v>
      </c>
      <c r="D148">
        <f>'SCORE(1)'!D183</f>
        <v>20</v>
      </c>
      <c r="I148">
        <v>210</v>
      </c>
      <c r="J148">
        <v>2000</v>
      </c>
      <c r="K148">
        <f>'SCORE(1)'!K183</f>
        <v>0</v>
      </c>
      <c r="L148">
        <f t="shared" si="14"/>
        <v>0</v>
      </c>
    </row>
    <row r="149" spans="1:12" x14ac:dyDescent="0.25">
      <c r="A149" t="s">
        <v>1070</v>
      </c>
      <c r="B149" t="s">
        <v>18</v>
      </c>
      <c r="D149">
        <f>'SCORE(1)'!D184</f>
        <v>7</v>
      </c>
      <c r="I149">
        <v>70</v>
      </c>
      <c r="J149">
        <v>1500</v>
      </c>
      <c r="K149">
        <f>'SCORE(1)'!K184</f>
        <v>0</v>
      </c>
      <c r="L149">
        <f t="shared" si="14"/>
        <v>0</v>
      </c>
    </row>
    <row r="150" spans="1:12" x14ac:dyDescent="0.25">
      <c r="A150" t="s">
        <v>1070</v>
      </c>
      <c r="B150" t="s">
        <v>15</v>
      </c>
      <c r="D150">
        <f>'SCORE(1)'!D185</f>
        <v>2</v>
      </c>
      <c r="I150">
        <v>20</v>
      </c>
      <c r="J150">
        <v>1500</v>
      </c>
      <c r="K150">
        <f>'SCORE(1)'!K185</f>
        <v>0</v>
      </c>
      <c r="L150">
        <f t="shared" si="14"/>
        <v>0</v>
      </c>
    </row>
    <row r="151" spans="1:12" x14ac:dyDescent="0.25">
      <c r="A151" t="s">
        <v>1070</v>
      </c>
      <c r="B151" t="s">
        <v>20</v>
      </c>
      <c r="D151">
        <f>'SCORE(1)'!D186</f>
        <v>38</v>
      </c>
      <c r="I151">
        <v>380</v>
      </c>
      <c r="J151">
        <v>0</v>
      </c>
      <c r="K151">
        <f>'SCORE(1)'!K186</f>
        <v>0</v>
      </c>
      <c r="L151">
        <f t="shared" si="14"/>
        <v>0</v>
      </c>
    </row>
    <row r="152" spans="1:12" x14ac:dyDescent="0.25">
      <c r="A152" t="s">
        <v>1070</v>
      </c>
      <c r="B152" t="s">
        <v>19</v>
      </c>
      <c r="D152">
        <f>'SCORE(1)'!D187</f>
        <v>4</v>
      </c>
      <c r="I152">
        <v>40</v>
      </c>
      <c r="J152">
        <v>1000</v>
      </c>
      <c r="K152">
        <f>'SCORE(1)'!K187</f>
        <v>0</v>
      </c>
      <c r="L152">
        <f t="shared" si="14"/>
        <v>0</v>
      </c>
    </row>
    <row r="153" spans="1:12" x14ac:dyDescent="0.25">
      <c r="A153" t="s">
        <v>1070</v>
      </c>
      <c r="B153" t="s">
        <v>17</v>
      </c>
      <c r="D153">
        <f>'SCORE(1)'!D188</f>
        <v>6</v>
      </c>
      <c r="I153">
        <v>60</v>
      </c>
      <c r="J153">
        <v>1000</v>
      </c>
      <c r="K153">
        <f>'SCORE(1)'!K188</f>
        <v>0</v>
      </c>
      <c r="L153">
        <f t="shared" si="14"/>
        <v>0</v>
      </c>
    </row>
    <row r="154" spans="1:12" x14ac:dyDescent="0.25">
      <c r="A154" t="s">
        <v>1070</v>
      </c>
      <c r="B154" t="s">
        <v>334</v>
      </c>
      <c r="D154">
        <f>'SCORE(1)'!D189</f>
        <v>39</v>
      </c>
      <c r="I154">
        <v>400</v>
      </c>
      <c r="J154">
        <v>2500</v>
      </c>
      <c r="K154">
        <f>'SCORE(1)'!K189</f>
        <v>0</v>
      </c>
      <c r="L154">
        <f t="shared" si="14"/>
        <v>0</v>
      </c>
    </row>
    <row r="155" spans="1:12" x14ac:dyDescent="0.25">
      <c r="A155" t="s">
        <v>1070</v>
      </c>
      <c r="B155" t="s">
        <v>336</v>
      </c>
      <c r="D155">
        <f>'SCORE(1)'!D190</f>
        <v>45</v>
      </c>
      <c r="I155">
        <v>450</v>
      </c>
      <c r="J155">
        <v>2500</v>
      </c>
      <c r="K155">
        <f>'SCORE(1)'!K190</f>
        <v>0</v>
      </c>
      <c r="L155">
        <f t="shared" si="14"/>
        <v>0</v>
      </c>
    </row>
    <row r="156" spans="1:12" x14ac:dyDescent="0.25">
      <c r="A156" t="s">
        <v>1070</v>
      </c>
      <c r="B156" t="s">
        <v>335</v>
      </c>
      <c r="D156">
        <f>'SCORE(1)'!D191</f>
        <v>13</v>
      </c>
      <c r="I156">
        <v>130</v>
      </c>
      <c r="J156">
        <v>1600</v>
      </c>
      <c r="K156">
        <f>'SCORE(1)'!K191</f>
        <v>0</v>
      </c>
      <c r="L156">
        <f t="shared" si="14"/>
        <v>0</v>
      </c>
    </row>
    <row r="157" spans="1:12" x14ac:dyDescent="0.25">
      <c r="A157" t="s">
        <v>1070</v>
      </c>
      <c r="B157" t="s">
        <v>337</v>
      </c>
      <c r="D157">
        <f>'SCORE(1)'!D192</f>
        <v>9</v>
      </c>
      <c r="I157">
        <v>90</v>
      </c>
      <c r="J157">
        <v>4500</v>
      </c>
      <c r="K157">
        <f>'SCORE(1)'!K192</f>
        <v>0</v>
      </c>
      <c r="L157">
        <f t="shared" si="14"/>
        <v>0</v>
      </c>
    </row>
    <row r="158" spans="1:12" x14ac:dyDescent="0.25">
      <c r="A158" t="s">
        <v>1070</v>
      </c>
      <c r="B158" t="s">
        <v>340</v>
      </c>
      <c r="D158">
        <f>'SCORE(1)'!D193</f>
        <v>6</v>
      </c>
      <c r="I158">
        <v>60</v>
      </c>
      <c r="J158">
        <v>5500</v>
      </c>
      <c r="K158">
        <f>'SCORE(1)'!K193</f>
        <v>0</v>
      </c>
      <c r="L158">
        <f t="shared" si="14"/>
        <v>0</v>
      </c>
    </row>
    <row r="159" spans="1:12" x14ac:dyDescent="0.25">
      <c r="A159" t="s">
        <v>1070</v>
      </c>
      <c r="B159" t="s">
        <v>338</v>
      </c>
      <c r="D159">
        <f>'SCORE(1)'!D194</f>
        <v>24</v>
      </c>
      <c r="I159">
        <v>240</v>
      </c>
      <c r="J159">
        <v>3000</v>
      </c>
      <c r="K159">
        <f>'SCORE(1)'!K194</f>
        <v>0</v>
      </c>
      <c r="L159">
        <f t="shared" si="14"/>
        <v>0</v>
      </c>
    </row>
    <row r="160" spans="1:12" x14ac:dyDescent="0.25">
      <c r="A160" t="s">
        <v>1070</v>
      </c>
      <c r="B160" t="s">
        <v>341</v>
      </c>
      <c r="D160">
        <f>'SCORE(1)'!D195</f>
        <v>6</v>
      </c>
      <c r="I160">
        <v>60</v>
      </c>
      <c r="J160">
        <v>1200</v>
      </c>
      <c r="K160">
        <f>'SCORE(1)'!K195</f>
        <v>0</v>
      </c>
      <c r="L160">
        <f t="shared" si="14"/>
        <v>0</v>
      </c>
    </row>
    <row r="161" spans="1:15" x14ac:dyDescent="0.25">
      <c r="A161" t="s">
        <v>1070</v>
      </c>
      <c r="B161" t="s">
        <v>339</v>
      </c>
      <c r="D161">
        <f>'SCORE(1)'!D196</f>
        <v>3</v>
      </c>
      <c r="I161">
        <v>30</v>
      </c>
      <c r="J161">
        <v>1200</v>
      </c>
      <c r="K161">
        <f>'SCORE(1)'!K196</f>
        <v>0</v>
      </c>
      <c r="L161">
        <f t="shared" si="14"/>
        <v>0</v>
      </c>
    </row>
    <row r="163" spans="1:15" x14ac:dyDescent="0.25">
      <c r="D163">
        <f>SUM(D154:D161)</f>
        <v>145</v>
      </c>
      <c r="E163">
        <f>SUM(D145:D153)</f>
        <v>145</v>
      </c>
      <c r="F163">
        <f>SUM(D141:D144)</f>
        <v>145</v>
      </c>
      <c r="L163">
        <f>SUM(L141:L162)</f>
        <v>0</v>
      </c>
    </row>
    <row r="165" spans="1:15" ht="18.75" x14ac:dyDescent="0.3">
      <c r="A165" s="5" t="s">
        <v>1054</v>
      </c>
    </row>
    <row r="166" spans="1:15" x14ac:dyDescent="0.25">
      <c r="A166" s="3" t="s">
        <v>33</v>
      </c>
      <c r="B166" s="3" t="s">
        <v>180</v>
      </c>
      <c r="C166" s="3">
        <v>32.195447000000001</v>
      </c>
      <c r="D166" s="3">
        <v>-94.914913999999996</v>
      </c>
      <c r="E166" s="3" t="s">
        <v>325</v>
      </c>
      <c r="F166" s="3" t="s">
        <v>842</v>
      </c>
      <c r="G166" s="3">
        <v>2263</v>
      </c>
      <c r="H166" s="3" t="s">
        <v>13</v>
      </c>
      <c r="I166" s="3" t="s">
        <v>333</v>
      </c>
      <c r="J166" s="10" t="s">
        <v>334</v>
      </c>
      <c r="K166" t="str">
        <f>IF(COUNTIF($F$21:$F$135,A166)&gt;0,"Y","")</f>
        <v/>
      </c>
      <c r="L166" t="str">
        <f>IF(K166="Y",H166,"")</f>
        <v/>
      </c>
      <c r="M166" t="str">
        <f>IF(K166="Y",J166,"")</f>
        <v/>
      </c>
    </row>
    <row r="167" spans="1:15" x14ac:dyDescent="0.25">
      <c r="A167" s="3" t="s">
        <v>34</v>
      </c>
      <c r="B167" s="3" t="s">
        <v>181</v>
      </c>
      <c r="C167" s="3">
        <v>31.311059</v>
      </c>
      <c r="D167" s="3">
        <v>-96.617508000000001</v>
      </c>
      <c r="E167" s="3" t="s">
        <v>325</v>
      </c>
      <c r="F167" s="3" t="s">
        <v>843</v>
      </c>
      <c r="G167" s="3">
        <v>1037</v>
      </c>
      <c r="H167" s="3" t="s">
        <v>13</v>
      </c>
      <c r="I167" s="3" t="s">
        <v>333</v>
      </c>
      <c r="J167" s="10" t="s">
        <v>334</v>
      </c>
      <c r="K167" t="str">
        <f t="shared" ref="K167:K230" si="15">IF(COUNTIF($F$21:$F$135,A167)&gt;0,"Y","")</f>
        <v/>
      </c>
      <c r="L167" t="str">
        <f t="shared" ref="L167:L230" si="16">IF(K167="Y",H167,"")</f>
        <v/>
      </c>
      <c r="M167" t="str">
        <f t="shared" ref="M167:M230" si="17">IF(K167="Y",J167,"")</f>
        <v/>
      </c>
    </row>
    <row r="168" spans="1:15" x14ac:dyDescent="0.25">
      <c r="A168" s="3" t="s">
        <v>35</v>
      </c>
      <c r="B168" s="3" t="s">
        <v>182</v>
      </c>
      <c r="C168" s="3">
        <v>32.542496</v>
      </c>
      <c r="D168" s="3">
        <v>-94.815797000000003</v>
      </c>
      <c r="E168" s="3" t="s">
        <v>325</v>
      </c>
      <c r="F168" s="3" t="s">
        <v>844</v>
      </c>
      <c r="G168" s="3">
        <v>1071</v>
      </c>
      <c r="H168" s="3" t="s">
        <v>13</v>
      </c>
      <c r="I168" s="3" t="s">
        <v>333</v>
      </c>
      <c r="J168" s="10" t="s">
        <v>334</v>
      </c>
      <c r="K168" t="str">
        <f t="shared" si="15"/>
        <v/>
      </c>
      <c r="L168" t="str">
        <f t="shared" si="16"/>
        <v/>
      </c>
      <c r="M168" t="str">
        <f t="shared" si="17"/>
        <v/>
      </c>
      <c r="N168" t="str">
        <f t="shared" ref="N168:N199" si="18">IF(K166="Y",G166,"")</f>
        <v/>
      </c>
      <c r="O168" t="str">
        <f t="shared" ref="O168:O199" si="19">IF(K166="Y",I166,"")</f>
        <v/>
      </c>
    </row>
    <row r="169" spans="1:15" x14ac:dyDescent="0.25">
      <c r="A169" s="3" t="s">
        <v>36</v>
      </c>
      <c r="B169" s="3" t="s">
        <v>183</v>
      </c>
      <c r="C169" s="3">
        <v>32.53087</v>
      </c>
      <c r="D169" s="3">
        <v>-95.640590000000003</v>
      </c>
      <c r="E169" s="3" t="s">
        <v>325</v>
      </c>
      <c r="F169" s="3" t="s">
        <v>845</v>
      </c>
      <c r="G169" s="3">
        <v>642</v>
      </c>
      <c r="H169" s="3" t="s">
        <v>13</v>
      </c>
      <c r="I169" s="3" t="s">
        <v>333</v>
      </c>
      <c r="J169" s="10" t="s">
        <v>334</v>
      </c>
      <c r="K169" t="str">
        <f t="shared" si="15"/>
        <v/>
      </c>
      <c r="L169" t="str">
        <f t="shared" si="16"/>
        <v/>
      </c>
      <c r="M169" t="str">
        <f t="shared" si="17"/>
        <v/>
      </c>
      <c r="N169" t="str">
        <f t="shared" si="18"/>
        <v/>
      </c>
      <c r="O169" t="str">
        <f t="shared" si="19"/>
        <v/>
      </c>
    </row>
    <row r="170" spans="1:15" x14ac:dyDescent="0.25">
      <c r="A170" s="3" t="s">
        <v>37</v>
      </c>
      <c r="B170" s="3" t="s">
        <v>184</v>
      </c>
      <c r="C170" s="3">
        <v>32.178420000000003</v>
      </c>
      <c r="D170" s="3">
        <v>-94.922685000000001</v>
      </c>
      <c r="E170" s="3" t="s">
        <v>325</v>
      </c>
      <c r="F170" s="3" t="s">
        <v>846</v>
      </c>
      <c r="G170" s="3">
        <v>3017</v>
      </c>
      <c r="H170" s="3" t="s">
        <v>13</v>
      </c>
      <c r="I170" s="3" t="s">
        <v>333</v>
      </c>
      <c r="J170" s="10" t="s">
        <v>334</v>
      </c>
      <c r="K170" t="str">
        <f t="shared" si="15"/>
        <v/>
      </c>
      <c r="L170" t="str">
        <f t="shared" si="16"/>
        <v/>
      </c>
      <c r="M170" t="str">
        <f t="shared" si="17"/>
        <v/>
      </c>
      <c r="N170" t="str">
        <f t="shared" si="18"/>
        <v/>
      </c>
      <c r="O170" t="str">
        <f t="shared" si="19"/>
        <v/>
      </c>
    </row>
    <row r="171" spans="1:15" x14ac:dyDescent="0.25">
      <c r="A171" s="3" t="s">
        <v>38</v>
      </c>
      <c r="B171" s="3" t="s">
        <v>185</v>
      </c>
      <c r="C171" s="3">
        <v>32.534709999999997</v>
      </c>
      <c r="D171" s="3">
        <v>-94.945120000000003</v>
      </c>
      <c r="E171" s="3" t="s">
        <v>325</v>
      </c>
      <c r="F171" s="3" t="s">
        <v>847</v>
      </c>
      <c r="G171" s="3">
        <v>1814</v>
      </c>
      <c r="H171" s="3" t="s">
        <v>13</v>
      </c>
      <c r="I171" s="3" t="s">
        <v>333</v>
      </c>
      <c r="J171" s="10" t="s">
        <v>334</v>
      </c>
      <c r="K171" t="str">
        <f t="shared" si="15"/>
        <v/>
      </c>
      <c r="L171" t="str">
        <f t="shared" si="16"/>
        <v/>
      </c>
      <c r="M171" t="str">
        <f t="shared" si="17"/>
        <v/>
      </c>
      <c r="N171" t="str">
        <f t="shared" si="18"/>
        <v/>
      </c>
      <c r="O171" t="str">
        <f t="shared" si="19"/>
        <v/>
      </c>
    </row>
    <row r="172" spans="1:15" x14ac:dyDescent="0.25">
      <c r="A172" s="3" t="s">
        <v>39</v>
      </c>
      <c r="B172" s="3" t="s">
        <v>186</v>
      </c>
      <c r="C172" s="3">
        <v>30.279986999999998</v>
      </c>
      <c r="D172" s="3">
        <v>-97.734723000000002</v>
      </c>
      <c r="E172" s="3" t="s">
        <v>325</v>
      </c>
      <c r="F172" s="3" t="s">
        <v>848</v>
      </c>
      <c r="G172" s="3">
        <v>145</v>
      </c>
      <c r="H172" s="3" t="s">
        <v>14</v>
      </c>
      <c r="I172" s="3" t="s">
        <v>333</v>
      </c>
      <c r="J172" s="10" t="s">
        <v>334</v>
      </c>
      <c r="K172" t="str">
        <f t="shared" si="15"/>
        <v/>
      </c>
      <c r="L172" t="str">
        <f t="shared" si="16"/>
        <v/>
      </c>
      <c r="M172" t="str">
        <f t="shared" si="17"/>
        <v/>
      </c>
      <c r="N172" t="str">
        <f t="shared" si="18"/>
        <v/>
      </c>
      <c r="O172" t="str">
        <f t="shared" si="19"/>
        <v/>
      </c>
    </row>
    <row r="173" spans="1:15" x14ac:dyDescent="0.25">
      <c r="A173" s="3" t="s">
        <v>40</v>
      </c>
      <c r="B173" s="3" t="s">
        <v>187</v>
      </c>
      <c r="C173" s="3">
        <v>33.3628</v>
      </c>
      <c r="D173" s="3">
        <v>-95.107410000000002</v>
      </c>
      <c r="E173" s="3" t="s">
        <v>325</v>
      </c>
      <c r="F173" s="3" t="s">
        <v>849</v>
      </c>
      <c r="G173" s="3">
        <v>246</v>
      </c>
      <c r="H173" s="3" t="s">
        <v>15</v>
      </c>
      <c r="I173" s="3" t="s">
        <v>333</v>
      </c>
      <c r="J173" s="10" t="s">
        <v>334</v>
      </c>
      <c r="K173" t="str">
        <f t="shared" si="15"/>
        <v/>
      </c>
      <c r="L173" t="str">
        <f t="shared" si="16"/>
        <v/>
      </c>
      <c r="M173" t="str">
        <f t="shared" si="17"/>
        <v/>
      </c>
      <c r="N173" t="str">
        <f t="shared" si="18"/>
        <v/>
      </c>
      <c r="O173" t="str">
        <f t="shared" si="19"/>
        <v/>
      </c>
    </row>
    <row r="174" spans="1:15" x14ac:dyDescent="0.25">
      <c r="A174" s="3" t="s">
        <v>41</v>
      </c>
      <c r="B174" s="3" t="s">
        <v>188</v>
      </c>
      <c r="C174" s="3">
        <v>29.170795999999999</v>
      </c>
      <c r="D174" s="3">
        <v>-95.670351999999994</v>
      </c>
      <c r="E174" s="3" t="s">
        <v>325</v>
      </c>
      <c r="F174" s="3" t="s">
        <v>850</v>
      </c>
      <c r="G174" s="3">
        <v>295</v>
      </c>
      <c r="H174" s="3" t="s">
        <v>13</v>
      </c>
      <c r="I174" s="3" t="s">
        <v>333</v>
      </c>
      <c r="J174" s="10" t="s">
        <v>335</v>
      </c>
      <c r="K174" t="str">
        <f t="shared" si="15"/>
        <v/>
      </c>
      <c r="L174" t="str">
        <f t="shared" si="16"/>
        <v/>
      </c>
      <c r="M174" t="str">
        <f t="shared" si="17"/>
        <v/>
      </c>
      <c r="N174" t="str">
        <f t="shared" si="18"/>
        <v/>
      </c>
      <c r="O174" t="str">
        <f t="shared" si="19"/>
        <v/>
      </c>
    </row>
    <row r="175" spans="1:15" x14ac:dyDescent="0.25">
      <c r="A175" s="3" t="s">
        <v>42</v>
      </c>
      <c r="B175" s="3" t="s">
        <v>189</v>
      </c>
      <c r="C175" s="3">
        <v>29.999548999999998</v>
      </c>
      <c r="D175" s="3">
        <v>-95.233866000000006</v>
      </c>
      <c r="E175" s="3" t="s">
        <v>325</v>
      </c>
      <c r="F175" s="3" t="s">
        <v>851</v>
      </c>
      <c r="G175" s="3">
        <v>265</v>
      </c>
      <c r="H175" s="3" t="s">
        <v>13</v>
      </c>
      <c r="I175" s="3" t="s">
        <v>333</v>
      </c>
      <c r="J175" s="10" t="s">
        <v>335</v>
      </c>
      <c r="K175" t="str">
        <f t="shared" si="15"/>
        <v/>
      </c>
      <c r="L175" t="str">
        <f t="shared" si="16"/>
        <v/>
      </c>
      <c r="M175" t="str">
        <f t="shared" si="17"/>
        <v/>
      </c>
      <c r="N175" t="str">
        <f t="shared" si="18"/>
        <v/>
      </c>
      <c r="O175" t="str">
        <f t="shared" si="19"/>
        <v/>
      </c>
    </row>
    <row r="176" spans="1:15" x14ac:dyDescent="0.25">
      <c r="A176" s="3" t="s">
        <v>43</v>
      </c>
      <c r="B176" s="3" t="s">
        <v>190</v>
      </c>
      <c r="C176" s="3">
        <v>29.734093999999999</v>
      </c>
      <c r="D176" s="3">
        <v>-94.970065000000005</v>
      </c>
      <c r="E176" s="3" t="s">
        <v>325</v>
      </c>
      <c r="F176" s="3" t="s">
        <v>852</v>
      </c>
      <c r="G176" s="3">
        <v>294</v>
      </c>
      <c r="H176" s="3" t="s">
        <v>15</v>
      </c>
      <c r="I176" s="3" t="s">
        <v>333</v>
      </c>
      <c r="J176" s="10" t="s">
        <v>335</v>
      </c>
      <c r="K176" t="str">
        <f t="shared" si="15"/>
        <v/>
      </c>
      <c r="L176" t="str">
        <f t="shared" si="16"/>
        <v/>
      </c>
      <c r="M176" t="str">
        <f t="shared" si="17"/>
        <v/>
      </c>
      <c r="N176" t="str">
        <f t="shared" si="18"/>
        <v/>
      </c>
      <c r="O176" t="str">
        <f t="shared" si="19"/>
        <v/>
      </c>
    </row>
    <row r="177" spans="1:15" x14ac:dyDescent="0.25">
      <c r="A177" s="3" t="s">
        <v>44</v>
      </c>
      <c r="B177" s="3" t="s">
        <v>191</v>
      </c>
      <c r="C177" s="3">
        <v>32.548009999999998</v>
      </c>
      <c r="D177" s="3">
        <v>-99.163780000000003</v>
      </c>
      <c r="E177" s="3" t="s">
        <v>325</v>
      </c>
      <c r="F177" s="3" t="s">
        <v>853</v>
      </c>
      <c r="G177" s="3">
        <v>1259</v>
      </c>
      <c r="H177" s="3" t="s">
        <v>13</v>
      </c>
      <c r="I177" s="3" t="s">
        <v>333</v>
      </c>
      <c r="J177" s="10" t="s">
        <v>336</v>
      </c>
      <c r="K177" t="str">
        <f t="shared" si="15"/>
        <v/>
      </c>
      <c r="L177" t="str">
        <f t="shared" si="16"/>
        <v/>
      </c>
      <c r="M177" t="str">
        <f t="shared" si="17"/>
        <v/>
      </c>
      <c r="N177" t="str">
        <f t="shared" si="18"/>
        <v/>
      </c>
      <c r="O177" t="str">
        <f t="shared" si="19"/>
        <v/>
      </c>
    </row>
    <row r="178" spans="1:15" x14ac:dyDescent="0.25">
      <c r="A178" s="3" t="s">
        <v>45</v>
      </c>
      <c r="B178" s="3" t="s">
        <v>192</v>
      </c>
      <c r="C178" s="3">
        <v>32.723039999999997</v>
      </c>
      <c r="D178" s="3">
        <v>-99.297150000000002</v>
      </c>
      <c r="E178" s="3" t="s">
        <v>325</v>
      </c>
      <c r="F178" s="3" t="s">
        <v>854</v>
      </c>
      <c r="G178" s="3">
        <v>813</v>
      </c>
      <c r="H178" s="3" t="s">
        <v>13</v>
      </c>
      <c r="I178" s="3" t="s">
        <v>333</v>
      </c>
      <c r="J178" s="10" t="s">
        <v>336</v>
      </c>
      <c r="K178" t="str">
        <f t="shared" si="15"/>
        <v/>
      </c>
      <c r="L178" t="str">
        <f t="shared" si="16"/>
        <v/>
      </c>
      <c r="M178" t="str">
        <f t="shared" si="17"/>
        <v/>
      </c>
      <c r="N178" t="str">
        <f t="shared" si="18"/>
        <v/>
      </c>
      <c r="O178" t="str">
        <f t="shared" si="19"/>
        <v/>
      </c>
    </row>
    <row r="179" spans="1:15" x14ac:dyDescent="0.25">
      <c r="A179" s="3" t="s">
        <v>46</v>
      </c>
      <c r="B179" s="3" t="s">
        <v>193</v>
      </c>
      <c r="C179" s="3">
        <v>32.450789999999998</v>
      </c>
      <c r="D179" s="3">
        <v>-98.692670000000007</v>
      </c>
      <c r="E179" s="3" t="s">
        <v>325</v>
      </c>
      <c r="F179" s="3" t="s">
        <v>855</v>
      </c>
      <c r="G179" s="3">
        <v>1939</v>
      </c>
      <c r="H179" s="3" t="s">
        <v>13</v>
      </c>
      <c r="I179" s="3" t="s">
        <v>333</v>
      </c>
      <c r="J179" s="10" t="s">
        <v>336</v>
      </c>
      <c r="K179" t="str">
        <f t="shared" si="15"/>
        <v/>
      </c>
      <c r="L179" t="str">
        <f t="shared" si="16"/>
        <v/>
      </c>
      <c r="M179" t="str">
        <f t="shared" si="17"/>
        <v/>
      </c>
      <c r="N179" t="str">
        <f t="shared" si="18"/>
        <v/>
      </c>
      <c r="O179" t="str">
        <f t="shared" si="19"/>
        <v/>
      </c>
    </row>
    <row r="180" spans="1:15" x14ac:dyDescent="0.25">
      <c r="A180" s="3" t="s">
        <v>47</v>
      </c>
      <c r="B180" s="3" t="s">
        <v>194</v>
      </c>
      <c r="C180" s="3">
        <v>33.987867000000001</v>
      </c>
      <c r="D180" s="3">
        <v>-98.221357999999995</v>
      </c>
      <c r="E180" s="3" t="s">
        <v>325</v>
      </c>
      <c r="F180" s="3" t="s">
        <v>856</v>
      </c>
      <c r="G180" s="3">
        <v>1824</v>
      </c>
      <c r="H180" s="3" t="s">
        <v>13</v>
      </c>
      <c r="I180" s="3" t="s">
        <v>333</v>
      </c>
      <c r="J180" s="10" t="s">
        <v>336</v>
      </c>
      <c r="K180" t="str">
        <f t="shared" si="15"/>
        <v/>
      </c>
      <c r="L180" t="str">
        <f t="shared" si="16"/>
        <v/>
      </c>
      <c r="M180" t="str">
        <f t="shared" si="17"/>
        <v/>
      </c>
      <c r="N180" t="str">
        <f t="shared" si="18"/>
        <v/>
      </c>
      <c r="O180" t="str">
        <f t="shared" si="19"/>
        <v/>
      </c>
    </row>
    <row r="181" spans="1:15" x14ac:dyDescent="0.25">
      <c r="A181" s="3" t="s">
        <v>48</v>
      </c>
      <c r="B181" s="3" t="s">
        <v>195</v>
      </c>
      <c r="C181" s="3">
        <v>33.595176000000002</v>
      </c>
      <c r="D181" s="3">
        <v>-98.625553999999994</v>
      </c>
      <c r="E181" s="3" t="s">
        <v>325</v>
      </c>
      <c r="F181" s="3" t="s">
        <v>857</v>
      </c>
      <c r="G181" s="3">
        <v>154</v>
      </c>
      <c r="H181" s="3" t="s">
        <v>13</v>
      </c>
      <c r="I181" s="3" t="s">
        <v>333</v>
      </c>
      <c r="J181" s="10" t="s">
        <v>336</v>
      </c>
      <c r="K181" t="str">
        <f t="shared" si="15"/>
        <v/>
      </c>
      <c r="L181" t="str">
        <f t="shared" si="16"/>
        <v/>
      </c>
      <c r="M181" t="str">
        <f t="shared" si="17"/>
        <v/>
      </c>
      <c r="N181" t="str">
        <f t="shared" si="18"/>
        <v/>
      </c>
      <c r="O181" t="str">
        <f t="shared" si="19"/>
        <v/>
      </c>
    </row>
    <row r="182" spans="1:15" x14ac:dyDescent="0.25">
      <c r="A182" s="3" t="s">
        <v>49</v>
      </c>
      <c r="B182" s="3" t="s">
        <v>196</v>
      </c>
      <c r="C182" s="3">
        <v>32.707261000000003</v>
      </c>
      <c r="D182" s="3">
        <v>-99.524603999999997</v>
      </c>
      <c r="E182" s="3" t="s">
        <v>326</v>
      </c>
      <c r="F182" s="3" t="s">
        <v>858</v>
      </c>
      <c r="G182" s="3">
        <v>3724</v>
      </c>
      <c r="H182" s="3" t="s">
        <v>14</v>
      </c>
      <c r="I182" s="3" t="s">
        <v>333</v>
      </c>
      <c r="J182" s="10" t="s">
        <v>336</v>
      </c>
      <c r="K182" t="str">
        <f t="shared" si="15"/>
        <v/>
      </c>
      <c r="L182" t="str">
        <f t="shared" si="16"/>
        <v/>
      </c>
      <c r="M182" t="str">
        <f t="shared" si="17"/>
        <v/>
      </c>
      <c r="N182" t="str">
        <f t="shared" si="18"/>
        <v/>
      </c>
      <c r="O182" t="str">
        <f t="shared" si="19"/>
        <v/>
      </c>
    </row>
    <row r="183" spans="1:15" x14ac:dyDescent="0.25">
      <c r="A183" s="3" t="s">
        <v>50</v>
      </c>
      <c r="B183" s="3" t="s">
        <v>197</v>
      </c>
      <c r="C183" s="3">
        <v>32.717604999999999</v>
      </c>
      <c r="D183" s="3">
        <v>-99.301117000000005</v>
      </c>
      <c r="E183" s="3" t="s">
        <v>325</v>
      </c>
      <c r="F183" s="3" t="s">
        <v>859</v>
      </c>
      <c r="G183" s="3">
        <v>121</v>
      </c>
      <c r="H183" s="3" t="s">
        <v>14</v>
      </c>
      <c r="I183" s="3" t="s">
        <v>333</v>
      </c>
      <c r="J183" s="10" t="s">
        <v>336</v>
      </c>
      <c r="K183" t="str">
        <f t="shared" si="15"/>
        <v/>
      </c>
      <c r="L183" t="str">
        <f t="shared" si="16"/>
        <v/>
      </c>
      <c r="M183" t="str">
        <f t="shared" si="17"/>
        <v/>
      </c>
      <c r="N183" t="str">
        <f t="shared" si="18"/>
        <v/>
      </c>
      <c r="O183" t="str">
        <f t="shared" si="19"/>
        <v/>
      </c>
    </row>
    <row r="184" spans="1:15" x14ac:dyDescent="0.25">
      <c r="A184" s="3" t="s">
        <v>51</v>
      </c>
      <c r="B184" s="3" t="s">
        <v>198</v>
      </c>
      <c r="C184" s="3">
        <v>34.103990000000003</v>
      </c>
      <c r="D184" s="3">
        <v>-98.563500000000005</v>
      </c>
      <c r="E184" s="3" t="s">
        <v>325</v>
      </c>
      <c r="F184" s="3" t="s">
        <v>860</v>
      </c>
      <c r="G184" s="3">
        <v>196</v>
      </c>
      <c r="H184" s="3" t="s">
        <v>14</v>
      </c>
      <c r="I184" s="3" t="s">
        <v>333</v>
      </c>
      <c r="J184" s="10" t="s">
        <v>336</v>
      </c>
      <c r="K184" t="str">
        <f t="shared" si="15"/>
        <v/>
      </c>
      <c r="L184" t="str">
        <f t="shared" si="16"/>
        <v/>
      </c>
      <c r="M184" t="str">
        <f t="shared" si="17"/>
        <v/>
      </c>
      <c r="N184" t="str">
        <f t="shared" si="18"/>
        <v/>
      </c>
      <c r="O184" t="str">
        <f t="shared" si="19"/>
        <v/>
      </c>
    </row>
    <row r="185" spans="1:15" x14ac:dyDescent="0.25">
      <c r="A185" s="3" t="s">
        <v>52</v>
      </c>
      <c r="B185" s="3" t="s">
        <v>199</v>
      </c>
      <c r="C185" s="3">
        <v>33.78566</v>
      </c>
      <c r="D185" s="3">
        <v>-97.708219999999997</v>
      </c>
      <c r="E185" s="3" t="s">
        <v>327</v>
      </c>
      <c r="F185" s="3" t="s">
        <v>861</v>
      </c>
      <c r="G185" s="3">
        <v>28</v>
      </c>
      <c r="H185" s="3" t="s">
        <v>14</v>
      </c>
      <c r="I185" s="3" t="s">
        <v>333</v>
      </c>
      <c r="J185" s="10" t="s">
        <v>336</v>
      </c>
      <c r="K185" t="str">
        <f t="shared" si="15"/>
        <v/>
      </c>
      <c r="L185" t="str">
        <f t="shared" si="16"/>
        <v/>
      </c>
      <c r="M185" t="str">
        <f t="shared" si="17"/>
        <v/>
      </c>
      <c r="N185" t="str">
        <f t="shared" si="18"/>
        <v/>
      </c>
      <c r="O185" t="str">
        <f t="shared" si="19"/>
        <v/>
      </c>
    </row>
    <row r="186" spans="1:15" x14ac:dyDescent="0.25">
      <c r="A186" s="3" t="s">
        <v>53</v>
      </c>
      <c r="B186" s="3" t="s">
        <v>200</v>
      </c>
      <c r="C186" s="3">
        <v>35.602960000000003</v>
      </c>
      <c r="D186" s="3">
        <v>-101.40602</v>
      </c>
      <c r="E186" s="3" t="s">
        <v>325</v>
      </c>
      <c r="F186" s="3" t="s">
        <v>862</v>
      </c>
      <c r="G186" s="3">
        <v>2715</v>
      </c>
      <c r="H186" s="3" t="s">
        <v>13</v>
      </c>
      <c r="I186" s="3" t="s">
        <v>333</v>
      </c>
      <c r="J186" s="10" t="s">
        <v>337</v>
      </c>
      <c r="K186" t="str">
        <f t="shared" si="15"/>
        <v/>
      </c>
      <c r="L186" t="str">
        <f t="shared" si="16"/>
        <v/>
      </c>
      <c r="M186" t="str">
        <f t="shared" si="17"/>
        <v/>
      </c>
      <c r="N186" t="str">
        <f t="shared" si="18"/>
        <v/>
      </c>
      <c r="O186" t="str">
        <f t="shared" si="19"/>
        <v/>
      </c>
    </row>
    <row r="187" spans="1:15" x14ac:dyDescent="0.25">
      <c r="A187" s="3" t="s">
        <v>54</v>
      </c>
      <c r="B187" s="3" t="s">
        <v>201</v>
      </c>
      <c r="C187" s="3">
        <v>35.791939999999997</v>
      </c>
      <c r="D187" s="3">
        <v>-101.43077</v>
      </c>
      <c r="E187" s="3" t="s">
        <v>325</v>
      </c>
      <c r="F187" s="3" t="s">
        <v>863</v>
      </c>
      <c r="G187" s="3">
        <v>420</v>
      </c>
      <c r="H187" s="3" t="s">
        <v>13</v>
      </c>
      <c r="I187" s="3" t="s">
        <v>333</v>
      </c>
      <c r="J187" s="10" t="s">
        <v>337</v>
      </c>
      <c r="K187" t="str">
        <f t="shared" si="15"/>
        <v/>
      </c>
      <c r="L187" t="str">
        <f t="shared" si="16"/>
        <v/>
      </c>
      <c r="M187" t="str">
        <f t="shared" si="17"/>
        <v/>
      </c>
      <c r="N187" t="str">
        <f t="shared" si="18"/>
        <v/>
      </c>
      <c r="O187" t="str">
        <f t="shared" si="19"/>
        <v/>
      </c>
    </row>
    <row r="188" spans="1:15" x14ac:dyDescent="0.25">
      <c r="A188" s="3" t="s">
        <v>55</v>
      </c>
      <c r="B188" s="3" t="s">
        <v>202</v>
      </c>
      <c r="C188" s="3">
        <v>33.588683000000003</v>
      </c>
      <c r="D188" s="3">
        <v>-101.88478600000001</v>
      </c>
      <c r="E188" s="3" t="s">
        <v>327</v>
      </c>
      <c r="F188" s="3" t="s">
        <v>864</v>
      </c>
      <c r="G188" s="3">
        <v>321</v>
      </c>
      <c r="H188" s="3" t="s">
        <v>14</v>
      </c>
      <c r="I188" s="3" t="s">
        <v>333</v>
      </c>
      <c r="J188" s="10" t="s">
        <v>337</v>
      </c>
      <c r="K188" t="str">
        <f t="shared" si="15"/>
        <v/>
      </c>
      <c r="L188" t="str">
        <f t="shared" si="16"/>
        <v/>
      </c>
      <c r="M188" t="str">
        <f t="shared" si="17"/>
        <v/>
      </c>
      <c r="N188" t="str">
        <f t="shared" si="18"/>
        <v/>
      </c>
      <c r="O188" t="str">
        <f t="shared" si="19"/>
        <v/>
      </c>
    </row>
    <row r="189" spans="1:15" x14ac:dyDescent="0.25">
      <c r="A189" s="3" t="s">
        <v>56</v>
      </c>
      <c r="B189" s="3" t="s">
        <v>203</v>
      </c>
      <c r="C189" s="3">
        <v>32.333705000000002</v>
      </c>
      <c r="D189" s="3">
        <v>-102.657965</v>
      </c>
      <c r="E189" s="3" t="s">
        <v>325</v>
      </c>
      <c r="F189" s="3" t="s">
        <v>865</v>
      </c>
      <c r="G189" s="3">
        <v>347</v>
      </c>
      <c r="H189" s="3" t="s">
        <v>13</v>
      </c>
      <c r="I189" s="3" t="s">
        <v>333</v>
      </c>
      <c r="J189" s="10" t="s">
        <v>338</v>
      </c>
      <c r="K189" t="str">
        <f t="shared" si="15"/>
        <v/>
      </c>
      <c r="L189" t="str">
        <f t="shared" si="16"/>
        <v/>
      </c>
      <c r="M189" t="str">
        <f t="shared" si="17"/>
        <v/>
      </c>
      <c r="N189" t="str">
        <f t="shared" si="18"/>
        <v/>
      </c>
      <c r="O189" t="str">
        <f t="shared" si="19"/>
        <v/>
      </c>
    </row>
    <row r="190" spans="1:15" x14ac:dyDescent="0.25">
      <c r="A190" s="3" t="s">
        <v>57</v>
      </c>
      <c r="B190" s="3" t="s">
        <v>204</v>
      </c>
      <c r="C190" s="3">
        <v>30.911280000000001</v>
      </c>
      <c r="D190" s="3">
        <v>-101.44647000000001</v>
      </c>
      <c r="E190" s="3" t="s">
        <v>325</v>
      </c>
      <c r="F190" s="3" t="s">
        <v>866</v>
      </c>
      <c r="G190" s="3">
        <v>273</v>
      </c>
      <c r="H190" s="3" t="s">
        <v>13</v>
      </c>
      <c r="I190" s="3" t="s">
        <v>333</v>
      </c>
      <c r="J190" s="10" t="s">
        <v>338</v>
      </c>
      <c r="K190" t="str">
        <f t="shared" si="15"/>
        <v/>
      </c>
      <c r="L190" t="str">
        <f t="shared" si="16"/>
        <v/>
      </c>
      <c r="M190" t="str">
        <f t="shared" si="17"/>
        <v/>
      </c>
      <c r="N190" t="str">
        <f t="shared" si="18"/>
        <v/>
      </c>
      <c r="O190" t="str">
        <f t="shared" si="19"/>
        <v/>
      </c>
    </row>
    <row r="191" spans="1:15" x14ac:dyDescent="0.25">
      <c r="A191" s="3" t="s">
        <v>58</v>
      </c>
      <c r="B191" s="3" t="s">
        <v>205</v>
      </c>
      <c r="C191" s="3">
        <v>33.049346999999997</v>
      </c>
      <c r="D191" s="3">
        <v>-102.81853</v>
      </c>
      <c r="E191" s="3" t="s">
        <v>325</v>
      </c>
      <c r="F191" s="3" t="s">
        <v>867</v>
      </c>
      <c r="G191" s="3">
        <v>1790</v>
      </c>
      <c r="H191" s="3" t="s">
        <v>13</v>
      </c>
      <c r="I191" s="3" t="s">
        <v>333</v>
      </c>
      <c r="J191" s="10" t="s">
        <v>338</v>
      </c>
      <c r="K191" t="str">
        <f t="shared" si="15"/>
        <v/>
      </c>
      <c r="L191" t="str">
        <f t="shared" si="16"/>
        <v/>
      </c>
      <c r="M191" t="str">
        <f t="shared" si="17"/>
        <v/>
      </c>
      <c r="N191" t="str">
        <f t="shared" si="18"/>
        <v/>
      </c>
      <c r="O191" t="str">
        <f t="shared" si="19"/>
        <v/>
      </c>
    </row>
    <row r="192" spans="1:15" x14ac:dyDescent="0.25">
      <c r="A192" s="3" t="s">
        <v>59</v>
      </c>
      <c r="B192" s="3" t="s">
        <v>206</v>
      </c>
      <c r="C192" s="3">
        <v>32.343020000000003</v>
      </c>
      <c r="D192" s="3">
        <v>-101.06291</v>
      </c>
      <c r="E192" s="3" t="s">
        <v>325</v>
      </c>
      <c r="F192" s="3" t="s">
        <v>868</v>
      </c>
      <c r="G192" s="3">
        <v>231</v>
      </c>
      <c r="H192" s="3" t="s">
        <v>13</v>
      </c>
      <c r="I192" s="3" t="s">
        <v>333</v>
      </c>
      <c r="J192" s="10" t="s">
        <v>338</v>
      </c>
      <c r="K192" t="str">
        <f t="shared" si="15"/>
        <v/>
      </c>
      <c r="L192" t="str">
        <f t="shared" si="16"/>
        <v/>
      </c>
      <c r="M192" t="str">
        <f t="shared" si="17"/>
        <v/>
      </c>
      <c r="N192" t="str">
        <f t="shared" si="18"/>
        <v/>
      </c>
      <c r="O192" t="str">
        <f t="shared" si="19"/>
        <v/>
      </c>
    </row>
    <row r="193" spans="1:15" x14ac:dyDescent="0.25">
      <c r="A193" s="3" t="s">
        <v>60</v>
      </c>
      <c r="B193" s="3" t="s">
        <v>207</v>
      </c>
      <c r="C193" s="3">
        <v>32.085850000000001</v>
      </c>
      <c r="D193" s="3">
        <v>-101.39187</v>
      </c>
      <c r="E193" s="3" t="s">
        <v>325</v>
      </c>
      <c r="F193" s="3" t="s">
        <v>869</v>
      </c>
      <c r="G193" s="3">
        <v>252</v>
      </c>
      <c r="H193" s="3" t="s">
        <v>13</v>
      </c>
      <c r="I193" s="3" t="s">
        <v>333</v>
      </c>
      <c r="J193" s="10" t="s">
        <v>338</v>
      </c>
      <c r="K193" t="str">
        <f t="shared" si="15"/>
        <v/>
      </c>
      <c r="L193" t="str">
        <f t="shared" si="16"/>
        <v/>
      </c>
      <c r="M193" t="str">
        <f t="shared" si="17"/>
        <v/>
      </c>
      <c r="N193" t="str">
        <f t="shared" si="18"/>
        <v/>
      </c>
      <c r="O193" t="str">
        <f t="shared" si="19"/>
        <v/>
      </c>
    </row>
    <row r="194" spans="1:15" x14ac:dyDescent="0.25">
      <c r="A194" s="3" t="s">
        <v>61</v>
      </c>
      <c r="B194" s="3" t="s">
        <v>208</v>
      </c>
      <c r="C194" s="3">
        <v>31.153220000000001</v>
      </c>
      <c r="D194" s="3">
        <v>-102.06504</v>
      </c>
      <c r="E194" s="3" t="s">
        <v>325</v>
      </c>
      <c r="F194" s="3" t="s">
        <v>870</v>
      </c>
      <c r="G194" s="3">
        <v>310</v>
      </c>
      <c r="H194" s="3" t="s">
        <v>13</v>
      </c>
      <c r="I194" s="3" t="s">
        <v>333</v>
      </c>
      <c r="J194" s="10" t="s">
        <v>338</v>
      </c>
      <c r="K194" t="str">
        <f t="shared" si="15"/>
        <v/>
      </c>
      <c r="L194" t="str">
        <f t="shared" si="16"/>
        <v/>
      </c>
      <c r="M194" t="str">
        <f t="shared" si="17"/>
        <v/>
      </c>
      <c r="N194" t="str">
        <f t="shared" si="18"/>
        <v/>
      </c>
      <c r="O194" t="str">
        <f t="shared" si="19"/>
        <v/>
      </c>
    </row>
    <row r="195" spans="1:15" x14ac:dyDescent="0.25">
      <c r="A195" s="3" t="s">
        <v>62</v>
      </c>
      <c r="B195" s="3" t="s">
        <v>209</v>
      </c>
      <c r="C195" s="3">
        <v>31.225079999999998</v>
      </c>
      <c r="D195" s="3">
        <v>-101.69253999999999</v>
      </c>
      <c r="E195" s="3" t="s">
        <v>325</v>
      </c>
      <c r="F195" s="3" t="s">
        <v>871</v>
      </c>
      <c r="G195" s="3">
        <v>2042</v>
      </c>
      <c r="H195" s="3" t="s">
        <v>13</v>
      </c>
      <c r="I195" s="3" t="s">
        <v>333</v>
      </c>
      <c r="J195" s="10" t="s">
        <v>338</v>
      </c>
      <c r="K195" t="str">
        <f t="shared" si="15"/>
        <v/>
      </c>
      <c r="L195" t="str">
        <f t="shared" si="16"/>
        <v/>
      </c>
      <c r="M195" t="str">
        <f t="shared" si="17"/>
        <v/>
      </c>
      <c r="N195" t="str">
        <f t="shared" si="18"/>
        <v/>
      </c>
      <c r="O195" t="str">
        <f t="shared" si="19"/>
        <v/>
      </c>
    </row>
    <row r="196" spans="1:15" x14ac:dyDescent="0.25">
      <c r="A196" s="3" t="s">
        <v>63</v>
      </c>
      <c r="B196" s="3" t="s">
        <v>210</v>
      </c>
      <c r="C196" s="3">
        <v>31.283639999999998</v>
      </c>
      <c r="D196" s="3">
        <v>-102.0454</v>
      </c>
      <c r="E196" s="3" t="s">
        <v>325</v>
      </c>
      <c r="F196" s="3" t="s">
        <v>872</v>
      </c>
      <c r="G196" s="3">
        <v>306</v>
      </c>
      <c r="H196" s="3" t="s">
        <v>13</v>
      </c>
      <c r="I196" s="3" t="s">
        <v>333</v>
      </c>
      <c r="J196" s="10" t="s">
        <v>338</v>
      </c>
      <c r="K196" t="str">
        <f t="shared" si="15"/>
        <v/>
      </c>
      <c r="L196" t="str">
        <f t="shared" si="16"/>
        <v/>
      </c>
      <c r="M196" t="str">
        <f t="shared" si="17"/>
        <v/>
      </c>
      <c r="N196" t="str">
        <f t="shared" si="18"/>
        <v/>
      </c>
      <c r="O196" t="str">
        <f t="shared" si="19"/>
        <v/>
      </c>
    </row>
    <row r="197" spans="1:15" x14ac:dyDescent="0.25">
      <c r="A197" s="3" t="s">
        <v>64</v>
      </c>
      <c r="B197" s="3" t="s">
        <v>211</v>
      </c>
      <c r="C197" s="3">
        <v>31.756046999999999</v>
      </c>
      <c r="D197" s="3">
        <v>-103.15655700000001</v>
      </c>
      <c r="E197" s="3" t="s">
        <v>325</v>
      </c>
      <c r="F197" s="3" t="s">
        <v>873</v>
      </c>
      <c r="G197" s="3">
        <v>383</v>
      </c>
      <c r="H197" s="3" t="s">
        <v>13</v>
      </c>
      <c r="I197" s="3" t="s">
        <v>333</v>
      </c>
      <c r="J197" s="10" t="s">
        <v>338</v>
      </c>
      <c r="K197" t="str">
        <f t="shared" si="15"/>
        <v/>
      </c>
      <c r="L197" t="str">
        <f t="shared" si="16"/>
        <v/>
      </c>
      <c r="M197" t="str">
        <f t="shared" si="17"/>
        <v/>
      </c>
      <c r="N197" t="str">
        <f t="shared" si="18"/>
        <v/>
      </c>
      <c r="O197" t="str">
        <f t="shared" si="19"/>
        <v/>
      </c>
    </row>
    <row r="198" spans="1:15" x14ac:dyDescent="0.25">
      <c r="A198" s="3" t="s">
        <v>65</v>
      </c>
      <c r="B198" s="3" t="s">
        <v>212</v>
      </c>
      <c r="C198" s="3">
        <v>31.503322000000001</v>
      </c>
      <c r="D198" s="3">
        <v>-102.357607</v>
      </c>
      <c r="E198" s="3" t="s">
        <v>325</v>
      </c>
      <c r="F198" s="3" t="s">
        <v>874</v>
      </c>
      <c r="G198" s="3">
        <v>326</v>
      </c>
      <c r="H198" s="3" t="s">
        <v>13</v>
      </c>
      <c r="I198" s="3" t="s">
        <v>333</v>
      </c>
      <c r="J198" s="10" t="s">
        <v>338</v>
      </c>
      <c r="K198" t="str">
        <f t="shared" si="15"/>
        <v/>
      </c>
      <c r="L198" t="str">
        <f t="shared" si="16"/>
        <v/>
      </c>
      <c r="M198" t="str">
        <f t="shared" si="17"/>
        <v/>
      </c>
      <c r="N198" t="str">
        <f t="shared" si="18"/>
        <v/>
      </c>
      <c r="O198" t="str">
        <f t="shared" si="19"/>
        <v/>
      </c>
    </row>
    <row r="199" spans="1:15" x14ac:dyDescent="0.25">
      <c r="A199" s="3" t="s">
        <v>66</v>
      </c>
      <c r="B199" s="3" t="s">
        <v>213</v>
      </c>
      <c r="C199" s="3">
        <v>32.070742000000003</v>
      </c>
      <c r="D199" s="3">
        <v>-100.664539</v>
      </c>
      <c r="E199" s="3" t="s">
        <v>325</v>
      </c>
      <c r="F199" s="3" t="s">
        <v>875</v>
      </c>
      <c r="G199" s="3">
        <v>199</v>
      </c>
      <c r="H199" s="3" t="s">
        <v>13</v>
      </c>
      <c r="I199" s="3" t="s">
        <v>333</v>
      </c>
      <c r="J199" s="10" t="s">
        <v>338</v>
      </c>
      <c r="K199" t="str">
        <f t="shared" si="15"/>
        <v/>
      </c>
      <c r="L199" t="str">
        <f t="shared" si="16"/>
        <v/>
      </c>
      <c r="M199" t="str">
        <f t="shared" si="17"/>
        <v/>
      </c>
      <c r="N199" t="str">
        <f t="shared" si="18"/>
        <v/>
      </c>
      <c r="O199" t="str">
        <f t="shared" si="19"/>
        <v/>
      </c>
    </row>
    <row r="200" spans="1:15" x14ac:dyDescent="0.25">
      <c r="A200" s="3" t="s">
        <v>67</v>
      </c>
      <c r="B200" s="3" t="s">
        <v>214</v>
      </c>
      <c r="C200" s="3">
        <v>31.720738999999998</v>
      </c>
      <c r="D200" s="3">
        <v>-102.626065</v>
      </c>
      <c r="E200" s="3" t="s">
        <v>325</v>
      </c>
      <c r="F200" s="3" t="s">
        <v>876</v>
      </c>
      <c r="G200" s="3">
        <v>345</v>
      </c>
      <c r="H200" s="3" t="s">
        <v>13</v>
      </c>
      <c r="I200" s="3" t="s">
        <v>333</v>
      </c>
      <c r="J200" s="10" t="s">
        <v>338</v>
      </c>
      <c r="K200" t="str">
        <f t="shared" si="15"/>
        <v/>
      </c>
      <c r="L200" t="str">
        <f t="shared" si="16"/>
        <v/>
      </c>
      <c r="M200" t="str">
        <f t="shared" si="17"/>
        <v/>
      </c>
      <c r="N200" t="str">
        <f t="shared" ref="N200:N231" si="20">IF(K198="Y",G198,"")</f>
        <v/>
      </c>
      <c r="O200" t="str">
        <f t="shared" ref="O200:O231" si="21">IF(K198="Y",I198,"")</f>
        <v/>
      </c>
    </row>
    <row r="201" spans="1:15" x14ac:dyDescent="0.25">
      <c r="A201" s="3" t="s">
        <v>68</v>
      </c>
      <c r="B201" s="3" t="s">
        <v>215</v>
      </c>
      <c r="C201" s="3">
        <v>31.971934000000001</v>
      </c>
      <c r="D201" s="3">
        <v>-102.08625499999999</v>
      </c>
      <c r="E201" s="3" t="s">
        <v>325</v>
      </c>
      <c r="F201" s="3" t="s">
        <v>877</v>
      </c>
      <c r="G201" s="3">
        <v>304</v>
      </c>
      <c r="H201" s="3" t="s">
        <v>14</v>
      </c>
      <c r="I201" s="3" t="s">
        <v>333</v>
      </c>
      <c r="J201" s="10" t="s">
        <v>338</v>
      </c>
      <c r="K201" t="str">
        <f t="shared" si="15"/>
        <v/>
      </c>
      <c r="L201" t="str">
        <f t="shared" si="16"/>
        <v/>
      </c>
      <c r="M201" t="str">
        <f t="shared" si="17"/>
        <v/>
      </c>
      <c r="N201" t="str">
        <f t="shared" si="20"/>
        <v/>
      </c>
      <c r="O201" t="str">
        <f t="shared" si="21"/>
        <v/>
      </c>
    </row>
    <row r="202" spans="1:15" x14ac:dyDescent="0.25">
      <c r="A202" s="3" t="s">
        <v>69</v>
      </c>
      <c r="B202" s="3" t="s">
        <v>216</v>
      </c>
      <c r="C202" s="3">
        <v>30.263238999999999</v>
      </c>
      <c r="D202" s="3">
        <v>-94.607778999999994</v>
      </c>
      <c r="E202" s="3" t="s">
        <v>325</v>
      </c>
      <c r="F202" s="3" t="s">
        <v>878</v>
      </c>
      <c r="G202" s="3">
        <v>843</v>
      </c>
      <c r="H202" s="3" t="s">
        <v>13</v>
      </c>
      <c r="I202" s="3" t="s">
        <v>333</v>
      </c>
      <c r="J202" s="10" t="s">
        <v>339</v>
      </c>
      <c r="K202" t="str">
        <f t="shared" si="15"/>
        <v/>
      </c>
      <c r="L202" t="str">
        <f t="shared" si="16"/>
        <v/>
      </c>
      <c r="M202" t="str">
        <f t="shared" si="17"/>
        <v/>
      </c>
      <c r="N202" t="str">
        <f t="shared" si="20"/>
        <v/>
      </c>
      <c r="O202" t="str">
        <f t="shared" si="21"/>
        <v/>
      </c>
    </row>
    <row r="203" spans="1:15" x14ac:dyDescent="0.25">
      <c r="A203" s="3" t="s">
        <v>70</v>
      </c>
      <c r="B203" s="3" t="s">
        <v>217</v>
      </c>
      <c r="C203" s="3">
        <v>29.681287000000001</v>
      </c>
      <c r="D203" s="3">
        <v>-97.650272000000001</v>
      </c>
      <c r="E203" s="3" t="s">
        <v>325</v>
      </c>
      <c r="F203" s="3" t="s">
        <v>879</v>
      </c>
      <c r="G203" s="3">
        <v>950</v>
      </c>
      <c r="H203" s="3" t="s">
        <v>13</v>
      </c>
      <c r="I203" s="3" t="s">
        <v>333</v>
      </c>
      <c r="J203" s="10" t="s">
        <v>340</v>
      </c>
      <c r="K203" t="str">
        <f t="shared" si="15"/>
        <v/>
      </c>
      <c r="L203" t="str">
        <f t="shared" si="16"/>
        <v/>
      </c>
      <c r="M203" t="str">
        <f t="shared" si="17"/>
        <v/>
      </c>
      <c r="N203" t="str">
        <f t="shared" si="20"/>
        <v/>
      </c>
      <c r="O203" t="str">
        <f t="shared" si="21"/>
        <v/>
      </c>
    </row>
    <row r="204" spans="1:15" x14ac:dyDescent="0.25">
      <c r="A204" s="3" t="s">
        <v>71</v>
      </c>
      <c r="B204" s="3" t="s">
        <v>218</v>
      </c>
      <c r="C204" s="3">
        <v>28.291519999999998</v>
      </c>
      <c r="D204" s="3">
        <v>-97.278104999999996</v>
      </c>
      <c r="E204" s="3" t="s">
        <v>325</v>
      </c>
      <c r="F204" s="3" t="s">
        <v>880</v>
      </c>
      <c r="G204" s="3">
        <v>2834</v>
      </c>
      <c r="H204" s="3" t="s">
        <v>13</v>
      </c>
      <c r="I204" s="3" t="s">
        <v>333</v>
      </c>
      <c r="J204" s="10" t="s">
        <v>340</v>
      </c>
      <c r="K204" t="str">
        <f t="shared" si="15"/>
        <v/>
      </c>
      <c r="L204" t="str">
        <f t="shared" si="16"/>
        <v/>
      </c>
      <c r="M204" t="str">
        <f t="shared" si="17"/>
        <v/>
      </c>
      <c r="N204" t="str">
        <f t="shared" si="20"/>
        <v/>
      </c>
      <c r="O204" t="str">
        <f t="shared" si="21"/>
        <v/>
      </c>
    </row>
    <row r="205" spans="1:15" x14ac:dyDescent="0.25">
      <c r="A205" s="3" t="s">
        <v>72</v>
      </c>
      <c r="B205" s="3" t="s">
        <v>219</v>
      </c>
      <c r="C205" s="3">
        <v>27.443923999999999</v>
      </c>
      <c r="D205" s="3">
        <v>-99.000998999999993</v>
      </c>
      <c r="E205" s="3" t="s">
        <v>325</v>
      </c>
      <c r="F205" s="3" t="s">
        <v>881</v>
      </c>
      <c r="G205" s="3">
        <v>2222</v>
      </c>
      <c r="H205" s="3" t="s">
        <v>14</v>
      </c>
      <c r="I205" s="3" t="s">
        <v>333</v>
      </c>
      <c r="J205" s="10" t="s">
        <v>340</v>
      </c>
      <c r="K205" t="str">
        <f t="shared" si="15"/>
        <v/>
      </c>
      <c r="L205" t="str">
        <f t="shared" si="16"/>
        <v/>
      </c>
      <c r="M205" t="str">
        <f t="shared" si="17"/>
        <v/>
      </c>
      <c r="N205" t="str">
        <f t="shared" si="20"/>
        <v/>
      </c>
      <c r="O205" t="str">
        <f t="shared" si="21"/>
        <v/>
      </c>
    </row>
    <row r="206" spans="1:15" x14ac:dyDescent="0.25">
      <c r="A206" s="3" t="s">
        <v>73</v>
      </c>
      <c r="B206" s="3" t="s">
        <v>220</v>
      </c>
      <c r="C206" s="3">
        <v>30.012944000000001</v>
      </c>
      <c r="D206" s="3">
        <v>-94.076200999999998</v>
      </c>
      <c r="E206" s="3" t="s">
        <v>325</v>
      </c>
      <c r="F206" s="3" t="s">
        <v>882</v>
      </c>
      <c r="G206" s="3">
        <v>2849</v>
      </c>
      <c r="H206" s="3" t="s">
        <v>13</v>
      </c>
      <c r="I206" s="3" t="s">
        <v>333</v>
      </c>
      <c r="J206" s="10" t="s">
        <v>341</v>
      </c>
      <c r="K206" t="str">
        <f t="shared" si="15"/>
        <v/>
      </c>
      <c r="L206" t="str">
        <f t="shared" si="16"/>
        <v/>
      </c>
      <c r="M206" t="str">
        <f t="shared" si="17"/>
        <v/>
      </c>
      <c r="N206" t="str">
        <f t="shared" si="20"/>
        <v/>
      </c>
      <c r="O206" t="str">
        <f t="shared" si="21"/>
        <v/>
      </c>
    </row>
    <row r="207" spans="1:15" x14ac:dyDescent="0.25">
      <c r="A207" s="3" t="s">
        <v>74</v>
      </c>
      <c r="B207" s="3" t="s">
        <v>221</v>
      </c>
      <c r="C207" s="3">
        <v>30.077226</v>
      </c>
      <c r="D207" s="3">
        <v>-93.860131999999993</v>
      </c>
      <c r="E207" s="3" t="s">
        <v>325</v>
      </c>
      <c r="F207" s="3" t="s">
        <v>883</v>
      </c>
      <c r="G207" s="3">
        <v>1060</v>
      </c>
      <c r="H207" s="3" t="s">
        <v>13</v>
      </c>
      <c r="I207" s="3" t="s">
        <v>333</v>
      </c>
      <c r="J207" s="10" t="s">
        <v>341</v>
      </c>
      <c r="K207" t="str">
        <f t="shared" si="15"/>
        <v/>
      </c>
      <c r="L207" t="str">
        <f t="shared" si="16"/>
        <v/>
      </c>
      <c r="M207" t="str">
        <f t="shared" si="17"/>
        <v/>
      </c>
      <c r="N207" t="str">
        <f t="shared" si="20"/>
        <v/>
      </c>
      <c r="O207" t="str">
        <f t="shared" si="21"/>
        <v/>
      </c>
    </row>
    <row r="208" spans="1:15" x14ac:dyDescent="0.25">
      <c r="A208" s="3" t="s">
        <v>75</v>
      </c>
      <c r="B208" s="3" t="s">
        <v>222</v>
      </c>
      <c r="C208" s="3">
        <v>30.328250000000001</v>
      </c>
      <c r="D208" s="3">
        <v>-97.749830000000003</v>
      </c>
      <c r="E208" s="3" t="s">
        <v>328</v>
      </c>
      <c r="F208" s="3" t="s">
        <v>884</v>
      </c>
      <c r="G208" s="3">
        <v>945</v>
      </c>
      <c r="H208" s="3" t="s">
        <v>16</v>
      </c>
      <c r="I208" s="3" t="s">
        <v>342</v>
      </c>
      <c r="J208" s="10" t="s">
        <v>334</v>
      </c>
      <c r="K208" t="str">
        <f t="shared" si="15"/>
        <v/>
      </c>
      <c r="L208" t="str">
        <f t="shared" si="16"/>
        <v/>
      </c>
      <c r="M208" t="str">
        <f t="shared" si="17"/>
        <v/>
      </c>
      <c r="N208" t="str">
        <f t="shared" si="20"/>
        <v/>
      </c>
      <c r="O208" t="str">
        <f t="shared" si="21"/>
        <v/>
      </c>
    </row>
    <row r="209" spans="1:15" x14ac:dyDescent="0.25">
      <c r="A209" s="3" t="s">
        <v>76</v>
      </c>
      <c r="B209" s="3" t="s">
        <v>223</v>
      </c>
      <c r="C209" s="3">
        <v>32.153356000000002</v>
      </c>
      <c r="D209" s="3">
        <v>-94.799397999999997</v>
      </c>
      <c r="E209" s="3" t="s">
        <v>325</v>
      </c>
      <c r="F209" s="3" t="s">
        <v>885</v>
      </c>
      <c r="G209" s="3">
        <v>745</v>
      </c>
      <c r="H209" s="3" t="s">
        <v>16</v>
      </c>
      <c r="I209" s="3" t="s">
        <v>342</v>
      </c>
      <c r="J209" s="10" t="s">
        <v>334</v>
      </c>
      <c r="K209" t="str">
        <f t="shared" si="15"/>
        <v/>
      </c>
      <c r="L209" t="str">
        <f t="shared" si="16"/>
        <v/>
      </c>
      <c r="M209" t="str">
        <f t="shared" si="17"/>
        <v/>
      </c>
      <c r="N209" t="str">
        <f t="shared" si="20"/>
        <v/>
      </c>
      <c r="O209" t="str">
        <f t="shared" si="21"/>
        <v/>
      </c>
    </row>
    <row r="210" spans="1:15" x14ac:dyDescent="0.25">
      <c r="A210" s="3" t="s">
        <v>77</v>
      </c>
      <c r="B210" s="3" t="s">
        <v>224</v>
      </c>
      <c r="C210" s="3">
        <v>31.674810000000001</v>
      </c>
      <c r="D210" s="3">
        <v>-96.481970000000004</v>
      </c>
      <c r="E210" s="3" t="s">
        <v>325</v>
      </c>
      <c r="F210" s="3" t="s">
        <v>886</v>
      </c>
      <c r="G210" s="3">
        <v>1117</v>
      </c>
      <c r="H210" s="3" t="s">
        <v>16</v>
      </c>
      <c r="I210" s="3" t="s">
        <v>342</v>
      </c>
      <c r="J210" s="10" t="s">
        <v>334</v>
      </c>
      <c r="K210" t="str">
        <f t="shared" si="15"/>
        <v/>
      </c>
      <c r="L210" t="str">
        <f t="shared" si="16"/>
        <v/>
      </c>
      <c r="M210" t="str">
        <f t="shared" si="17"/>
        <v/>
      </c>
      <c r="N210" t="str">
        <f t="shared" si="20"/>
        <v/>
      </c>
      <c r="O210" t="str">
        <f t="shared" si="21"/>
        <v/>
      </c>
    </row>
    <row r="211" spans="1:15" x14ac:dyDescent="0.25">
      <c r="A211" s="3" t="s">
        <v>78</v>
      </c>
      <c r="B211" s="3" t="s">
        <v>225</v>
      </c>
      <c r="C211" s="3">
        <v>31.691867999999999</v>
      </c>
      <c r="D211" s="3">
        <v>-96.479651000000004</v>
      </c>
      <c r="E211" s="3" t="s">
        <v>329</v>
      </c>
      <c r="F211" s="3" t="s">
        <v>887</v>
      </c>
      <c r="G211" s="3">
        <v>1160</v>
      </c>
      <c r="H211" s="3" t="s">
        <v>16</v>
      </c>
      <c r="I211" s="3" t="s">
        <v>342</v>
      </c>
      <c r="J211" s="10" t="s">
        <v>334</v>
      </c>
      <c r="K211" t="str">
        <f t="shared" si="15"/>
        <v/>
      </c>
      <c r="L211" t="str">
        <f t="shared" si="16"/>
        <v/>
      </c>
      <c r="M211" t="str">
        <f t="shared" si="17"/>
        <v/>
      </c>
      <c r="N211" t="str">
        <f t="shared" si="20"/>
        <v/>
      </c>
      <c r="O211" t="str">
        <f t="shared" si="21"/>
        <v/>
      </c>
    </row>
    <row r="212" spans="1:15" x14ac:dyDescent="0.25">
      <c r="A212" s="3" t="s">
        <v>79</v>
      </c>
      <c r="B212" s="3" t="s">
        <v>226</v>
      </c>
      <c r="C212" s="3">
        <v>31.565629999999999</v>
      </c>
      <c r="D212" s="3">
        <v>-94.481949999999998</v>
      </c>
      <c r="E212" s="3" t="s">
        <v>329</v>
      </c>
      <c r="F212" s="3" t="s">
        <v>888</v>
      </c>
      <c r="G212" s="3">
        <v>271</v>
      </c>
      <c r="H212" s="3" t="s">
        <v>16</v>
      </c>
      <c r="I212" s="3" t="s">
        <v>342</v>
      </c>
      <c r="J212" s="10" t="s">
        <v>334</v>
      </c>
      <c r="K212" t="str">
        <f t="shared" si="15"/>
        <v/>
      </c>
      <c r="L212" t="str">
        <f t="shared" si="16"/>
        <v/>
      </c>
      <c r="M212" t="str">
        <f t="shared" si="17"/>
        <v/>
      </c>
      <c r="N212" t="str">
        <f t="shared" si="20"/>
        <v/>
      </c>
      <c r="O212" t="str">
        <f t="shared" si="21"/>
        <v/>
      </c>
    </row>
    <row r="213" spans="1:15" x14ac:dyDescent="0.25">
      <c r="A213" s="3" t="s">
        <v>80</v>
      </c>
      <c r="B213" s="3" t="s">
        <v>227</v>
      </c>
      <c r="C213" s="3">
        <v>32.867862000000002</v>
      </c>
      <c r="D213" s="3">
        <v>-96.781346999999997</v>
      </c>
      <c r="E213" s="3" t="s">
        <v>325</v>
      </c>
      <c r="F213" s="3" t="s">
        <v>889</v>
      </c>
      <c r="G213" s="3">
        <v>3258</v>
      </c>
      <c r="H213" s="3" t="s">
        <v>16</v>
      </c>
      <c r="I213" s="3" t="s">
        <v>342</v>
      </c>
      <c r="J213" s="10" t="s">
        <v>334</v>
      </c>
      <c r="K213" t="str">
        <f t="shared" si="15"/>
        <v/>
      </c>
      <c r="L213" t="str">
        <f t="shared" si="16"/>
        <v/>
      </c>
      <c r="M213" t="str">
        <f t="shared" si="17"/>
        <v/>
      </c>
      <c r="N213" t="str">
        <f t="shared" si="20"/>
        <v/>
      </c>
      <c r="O213" t="str">
        <f t="shared" si="21"/>
        <v/>
      </c>
    </row>
    <row r="214" spans="1:15" x14ac:dyDescent="0.25">
      <c r="A214" s="3" t="s">
        <v>81</v>
      </c>
      <c r="B214" s="3" t="s">
        <v>228</v>
      </c>
      <c r="C214" s="3">
        <v>31.633389999999999</v>
      </c>
      <c r="D214" s="3">
        <v>-96.557559999999995</v>
      </c>
      <c r="E214" s="3" t="s">
        <v>325</v>
      </c>
      <c r="F214" s="3" t="s">
        <v>890</v>
      </c>
      <c r="G214" s="3">
        <v>1635</v>
      </c>
      <c r="H214" s="3" t="s">
        <v>16</v>
      </c>
      <c r="I214" s="3" t="s">
        <v>342</v>
      </c>
      <c r="J214" s="10" t="s">
        <v>334</v>
      </c>
      <c r="K214" t="str">
        <f t="shared" si="15"/>
        <v/>
      </c>
      <c r="L214" t="str">
        <f t="shared" si="16"/>
        <v/>
      </c>
      <c r="M214" t="str">
        <f t="shared" si="17"/>
        <v/>
      </c>
      <c r="N214" t="str">
        <f t="shared" si="20"/>
        <v/>
      </c>
      <c r="O214" t="str">
        <f t="shared" si="21"/>
        <v/>
      </c>
    </row>
    <row r="215" spans="1:15" x14ac:dyDescent="0.25">
      <c r="A215" s="3" t="s">
        <v>82</v>
      </c>
      <c r="B215" s="3" t="s">
        <v>229</v>
      </c>
      <c r="C215" s="3">
        <v>32.091780999999997</v>
      </c>
      <c r="D215" s="3">
        <v>-96.476635999999999</v>
      </c>
      <c r="E215" s="3" t="s">
        <v>325</v>
      </c>
      <c r="F215" s="3" t="s">
        <v>891</v>
      </c>
      <c r="G215" s="3">
        <v>378</v>
      </c>
      <c r="H215" s="3" t="s">
        <v>16</v>
      </c>
      <c r="I215" s="3" t="s">
        <v>342</v>
      </c>
      <c r="J215" s="10" t="s">
        <v>334</v>
      </c>
      <c r="K215" t="str">
        <f t="shared" si="15"/>
        <v/>
      </c>
      <c r="L215" t="str">
        <f t="shared" si="16"/>
        <v/>
      </c>
      <c r="M215" t="str">
        <f t="shared" si="17"/>
        <v/>
      </c>
      <c r="N215" t="str">
        <f t="shared" si="20"/>
        <v/>
      </c>
      <c r="O215" t="str">
        <f t="shared" si="21"/>
        <v/>
      </c>
    </row>
    <row r="216" spans="1:15" x14ac:dyDescent="0.25">
      <c r="A216" s="3" t="s">
        <v>83</v>
      </c>
      <c r="B216" s="3" t="s">
        <v>230</v>
      </c>
      <c r="C216" s="3">
        <v>32.203420000000001</v>
      </c>
      <c r="D216" s="3">
        <v>-95.854789999999994</v>
      </c>
      <c r="E216" s="3" t="s">
        <v>325</v>
      </c>
      <c r="F216" s="3" t="s">
        <v>892</v>
      </c>
      <c r="G216" s="3">
        <v>166</v>
      </c>
      <c r="H216" s="3" t="s">
        <v>16</v>
      </c>
      <c r="I216" s="3" t="s">
        <v>342</v>
      </c>
      <c r="J216" s="10" t="s">
        <v>334</v>
      </c>
      <c r="K216" t="str">
        <f t="shared" si="15"/>
        <v/>
      </c>
      <c r="L216" t="str">
        <f t="shared" si="16"/>
        <v/>
      </c>
      <c r="M216" t="str">
        <f t="shared" si="17"/>
        <v/>
      </c>
      <c r="N216" t="str">
        <f t="shared" si="20"/>
        <v/>
      </c>
      <c r="O216" t="str">
        <f t="shared" si="21"/>
        <v/>
      </c>
    </row>
    <row r="217" spans="1:15" x14ac:dyDescent="0.25">
      <c r="A217" s="3" t="s">
        <v>84</v>
      </c>
      <c r="B217" s="3" t="s">
        <v>231</v>
      </c>
      <c r="C217" s="3">
        <v>32.388342999999999</v>
      </c>
      <c r="D217" s="3">
        <v>-94.876947999999999</v>
      </c>
      <c r="E217" s="3" t="s">
        <v>325</v>
      </c>
      <c r="F217" s="3" t="s">
        <v>893</v>
      </c>
      <c r="G217" s="3">
        <v>441</v>
      </c>
      <c r="H217" s="3" t="s">
        <v>16</v>
      </c>
      <c r="I217" s="3" t="s">
        <v>342</v>
      </c>
      <c r="J217" s="10" t="s">
        <v>334</v>
      </c>
      <c r="K217" t="str">
        <f t="shared" si="15"/>
        <v/>
      </c>
      <c r="L217" t="str">
        <f t="shared" si="16"/>
        <v/>
      </c>
      <c r="M217" t="str">
        <f t="shared" si="17"/>
        <v/>
      </c>
      <c r="N217" t="str">
        <f t="shared" si="20"/>
        <v/>
      </c>
      <c r="O217" t="str">
        <f t="shared" si="21"/>
        <v/>
      </c>
    </row>
    <row r="218" spans="1:15" x14ac:dyDescent="0.25">
      <c r="A218" s="3" t="s">
        <v>85</v>
      </c>
      <c r="B218" s="3" t="s">
        <v>232</v>
      </c>
      <c r="C218" s="3">
        <v>31.685980000000001</v>
      </c>
      <c r="D218" s="3">
        <v>-96.423339999999996</v>
      </c>
      <c r="E218" s="3" t="s">
        <v>330</v>
      </c>
      <c r="F218" s="3" t="s">
        <v>894</v>
      </c>
      <c r="G218" s="3">
        <v>774</v>
      </c>
      <c r="H218" s="3" t="s">
        <v>18</v>
      </c>
      <c r="I218" s="3" t="s">
        <v>342</v>
      </c>
      <c r="J218" s="10" t="s">
        <v>334</v>
      </c>
      <c r="K218" t="str">
        <f t="shared" si="15"/>
        <v/>
      </c>
      <c r="L218" t="str">
        <f t="shared" si="16"/>
        <v/>
      </c>
      <c r="M218" t="str">
        <f t="shared" si="17"/>
        <v/>
      </c>
      <c r="N218" t="str">
        <f t="shared" si="20"/>
        <v/>
      </c>
      <c r="O218" t="str">
        <f t="shared" si="21"/>
        <v/>
      </c>
    </row>
    <row r="219" spans="1:15" x14ac:dyDescent="0.25">
      <c r="A219" s="3" t="s">
        <v>86</v>
      </c>
      <c r="B219" s="3" t="s">
        <v>233</v>
      </c>
      <c r="C219" s="3">
        <v>32.23921</v>
      </c>
      <c r="D219" s="3">
        <v>-94.941980000000001</v>
      </c>
      <c r="E219" s="3" t="s">
        <v>325</v>
      </c>
      <c r="F219" s="3" t="s">
        <v>895</v>
      </c>
      <c r="G219" s="3">
        <v>1939</v>
      </c>
      <c r="H219" s="3" t="s">
        <v>18</v>
      </c>
      <c r="I219" s="3" t="s">
        <v>342</v>
      </c>
      <c r="J219" s="10" t="s">
        <v>334</v>
      </c>
      <c r="K219" t="str">
        <f t="shared" si="15"/>
        <v/>
      </c>
      <c r="L219" t="str">
        <f t="shared" si="16"/>
        <v/>
      </c>
      <c r="M219" t="str">
        <f t="shared" si="17"/>
        <v/>
      </c>
      <c r="N219" t="str">
        <f t="shared" si="20"/>
        <v/>
      </c>
      <c r="O219" t="str">
        <f t="shared" si="21"/>
        <v/>
      </c>
    </row>
    <row r="220" spans="1:15" x14ac:dyDescent="0.25">
      <c r="A220" s="3" t="s">
        <v>87</v>
      </c>
      <c r="B220" s="3" t="s">
        <v>234</v>
      </c>
      <c r="C220" s="3">
        <v>32.776339999999998</v>
      </c>
      <c r="D220" s="3">
        <v>-96.804010000000005</v>
      </c>
      <c r="E220" s="3" t="s">
        <v>325</v>
      </c>
      <c r="F220" s="3" t="s">
        <v>896</v>
      </c>
      <c r="G220" s="3">
        <v>3188</v>
      </c>
      <c r="H220" s="3" t="s">
        <v>19</v>
      </c>
      <c r="I220" s="3" t="s">
        <v>342</v>
      </c>
      <c r="J220" s="10" t="s">
        <v>334</v>
      </c>
      <c r="K220" t="str">
        <f t="shared" si="15"/>
        <v/>
      </c>
      <c r="L220" t="str">
        <f t="shared" si="16"/>
        <v/>
      </c>
      <c r="M220" t="str">
        <f t="shared" si="17"/>
        <v/>
      </c>
      <c r="N220" t="str">
        <f t="shared" si="20"/>
        <v/>
      </c>
      <c r="O220" t="str">
        <f t="shared" si="21"/>
        <v/>
      </c>
    </row>
    <row r="221" spans="1:15" x14ac:dyDescent="0.25">
      <c r="A221" s="3" t="s">
        <v>88</v>
      </c>
      <c r="B221" s="3" t="s">
        <v>235</v>
      </c>
      <c r="C221" s="3">
        <v>32.390749999999997</v>
      </c>
      <c r="D221" s="3">
        <v>-94.869349999999997</v>
      </c>
      <c r="E221" s="3" t="s">
        <v>325</v>
      </c>
      <c r="F221" s="3" t="s">
        <v>897</v>
      </c>
      <c r="G221" s="3">
        <v>743</v>
      </c>
      <c r="H221" s="3" t="s">
        <v>17</v>
      </c>
      <c r="I221" s="3" t="s">
        <v>342</v>
      </c>
      <c r="J221" s="10" t="s">
        <v>334</v>
      </c>
      <c r="K221" t="str">
        <f t="shared" si="15"/>
        <v/>
      </c>
      <c r="L221" t="str">
        <f t="shared" si="16"/>
        <v/>
      </c>
      <c r="M221" t="str">
        <f t="shared" si="17"/>
        <v/>
      </c>
      <c r="N221" t="str">
        <f t="shared" si="20"/>
        <v/>
      </c>
      <c r="O221" t="str">
        <f t="shared" si="21"/>
        <v/>
      </c>
    </row>
    <row r="222" spans="1:15" x14ac:dyDescent="0.25">
      <c r="A222" s="3" t="s">
        <v>89</v>
      </c>
      <c r="B222" s="3" t="s">
        <v>236</v>
      </c>
      <c r="C222" s="3">
        <v>30.619221</v>
      </c>
      <c r="D222" s="3">
        <v>-96.339321999999996</v>
      </c>
      <c r="E222" s="3" t="s">
        <v>325</v>
      </c>
      <c r="F222" s="3" t="s">
        <v>898</v>
      </c>
      <c r="G222" s="3">
        <v>3443</v>
      </c>
      <c r="H222" s="3" t="s">
        <v>17</v>
      </c>
      <c r="I222" s="3" t="s">
        <v>342</v>
      </c>
      <c r="J222" s="10" t="s">
        <v>334</v>
      </c>
      <c r="K222" t="str">
        <f t="shared" si="15"/>
        <v/>
      </c>
      <c r="L222" t="str">
        <f t="shared" si="16"/>
        <v/>
      </c>
      <c r="M222" t="str">
        <f t="shared" si="17"/>
        <v/>
      </c>
      <c r="N222" t="str">
        <f t="shared" si="20"/>
        <v/>
      </c>
      <c r="O222" t="str">
        <f t="shared" si="21"/>
        <v/>
      </c>
    </row>
    <row r="223" spans="1:15" x14ac:dyDescent="0.25">
      <c r="A223" s="3" t="s">
        <v>90</v>
      </c>
      <c r="B223" s="3" t="s">
        <v>237</v>
      </c>
      <c r="C223" s="3">
        <v>32.092661</v>
      </c>
      <c r="D223" s="3">
        <v>-96.463170000000005</v>
      </c>
      <c r="E223" s="3" t="s">
        <v>325</v>
      </c>
      <c r="F223" s="3" t="s">
        <v>899</v>
      </c>
      <c r="G223" s="3">
        <v>1119</v>
      </c>
      <c r="H223" s="3" t="s">
        <v>17</v>
      </c>
      <c r="I223" s="3" t="s">
        <v>342</v>
      </c>
      <c r="J223" s="10" t="s">
        <v>334</v>
      </c>
      <c r="K223" t="str">
        <f t="shared" si="15"/>
        <v/>
      </c>
      <c r="L223" t="str">
        <f t="shared" si="16"/>
        <v/>
      </c>
      <c r="M223" t="str">
        <f t="shared" si="17"/>
        <v/>
      </c>
      <c r="N223" t="str">
        <f t="shared" si="20"/>
        <v/>
      </c>
      <c r="O223" t="str">
        <f t="shared" si="21"/>
        <v/>
      </c>
    </row>
    <row r="224" spans="1:15" x14ac:dyDescent="0.25">
      <c r="A224" s="3" t="s">
        <v>91</v>
      </c>
      <c r="B224" s="3" t="s">
        <v>238</v>
      </c>
      <c r="C224" s="3">
        <v>32.178449999999998</v>
      </c>
      <c r="D224" s="3">
        <v>-94.922529999999995</v>
      </c>
      <c r="E224" s="3" t="s">
        <v>325</v>
      </c>
      <c r="F224" s="3" t="s">
        <v>900</v>
      </c>
      <c r="G224" s="3">
        <v>1236</v>
      </c>
      <c r="H224" s="3" t="s">
        <v>17</v>
      </c>
      <c r="I224" s="3" t="s">
        <v>342</v>
      </c>
      <c r="J224" s="10" t="s">
        <v>334</v>
      </c>
      <c r="K224" t="str">
        <f t="shared" si="15"/>
        <v/>
      </c>
      <c r="L224" t="str">
        <f t="shared" si="16"/>
        <v/>
      </c>
      <c r="M224" t="str">
        <f t="shared" si="17"/>
        <v/>
      </c>
      <c r="N224" t="str">
        <f t="shared" si="20"/>
        <v/>
      </c>
      <c r="O224" t="str">
        <f t="shared" si="21"/>
        <v/>
      </c>
    </row>
    <row r="225" spans="1:15" x14ac:dyDescent="0.25">
      <c r="A225" s="3" t="s">
        <v>92</v>
      </c>
      <c r="B225" s="3" t="s">
        <v>239</v>
      </c>
      <c r="C225" s="3">
        <v>29.762277999999998</v>
      </c>
      <c r="D225" s="3">
        <v>-95.387056999999999</v>
      </c>
      <c r="E225" s="3" t="s">
        <v>331</v>
      </c>
      <c r="F225" s="3" t="s">
        <v>901</v>
      </c>
      <c r="G225" s="3">
        <v>280</v>
      </c>
      <c r="H225" s="3" t="s">
        <v>16</v>
      </c>
      <c r="I225" s="3" t="s">
        <v>342</v>
      </c>
      <c r="J225" s="10" t="s">
        <v>335</v>
      </c>
      <c r="K225" t="str">
        <f t="shared" si="15"/>
        <v/>
      </c>
      <c r="L225" t="str">
        <f t="shared" si="16"/>
        <v/>
      </c>
      <c r="M225" t="str">
        <f t="shared" si="17"/>
        <v/>
      </c>
      <c r="N225" t="str">
        <f t="shared" si="20"/>
        <v/>
      </c>
      <c r="O225" t="str">
        <f t="shared" si="21"/>
        <v/>
      </c>
    </row>
    <row r="226" spans="1:15" x14ac:dyDescent="0.25">
      <c r="A226" s="3" t="s">
        <v>93</v>
      </c>
      <c r="B226" s="3" t="s">
        <v>240</v>
      </c>
      <c r="C226" s="3">
        <v>30.280370000000001</v>
      </c>
      <c r="D226" s="3">
        <v>-95.357860000000002</v>
      </c>
      <c r="E226" s="3" t="s">
        <v>325</v>
      </c>
      <c r="F226" s="3" t="s">
        <v>902</v>
      </c>
      <c r="G226" s="3">
        <v>252</v>
      </c>
      <c r="H226" s="3" t="s">
        <v>18</v>
      </c>
      <c r="I226" s="3" t="s">
        <v>342</v>
      </c>
      <c r="J226" s="10" t="s">
        <v>335</v>
      </c>
      <c r="K226" t="str">
        <f t="shared" si="15"/>
        <v/>
      </c>
      <c r="L226" t="str">
        <f t="shared" si="16"/>
        <v/>
      </c>
      <c r="M226" t="str">
        <f t="shared" si="17"/>
        <v/>
      </c>
      <c r="N226" t="str">
        <f t="shared" si="20"/>
        <v/>
      </c>
      <c r="O226" t="str">
        <f t="shared" si="21"/>
        <v/>
      </c>
    </row>
    <row r="227" spans="1:15" x14ac:dyDescent="0.25">
      <c r="A227" s="3" t="s">
        <v>94</v>
      </c>
      <c r="B227" s="3" t="s">
        <v>241</v>
      </c>
      <c r="C227" s="3">
        <v>32.423900000000003</v>
      </c>
      <c r="D227" s="3">
        <v>-98.697620000000001</v>
      </c>
      <c r="E227" s="3" t="s">
        <v>325</v>
      </c>
      <c r="F227" s="3" t="s">
        <v>903</v>
      </c>
      <c r="G227" s="3">
        <v>773</v>
      </c>
      <c r="H227" s="3" t="s">
        <v>16</v>
      </c>
      <c r="I227" s="3" t="s">
        <v>342</v>
      </c>
      <c r="J227" s="10" t="s">
        <v>336</v>
      </c>
      <c r="K227" t="str">
        <f t="shared" si="15"/>
        <v/>
      </c>
      <c r="L227" t="str">
        <f t="shared" si="16"/>
        <v/>
      </c>
      <c r="M227" t="str">
        <f t="shared" si="17"/>
        <v/>
      </c>
      <c r="N227" t="str">
        <f t="shared" si="20"/>
        <v/>
      </c>
      <c r="O227" t="str">
        <f t="shared" si="21"/>
        <v/>
      </c>
    </row>
    <row r="228" spans="1:15" x14ac:dyDescent="0.25">
      <c r="A228" s="3" t="s">
        <v>95</v>
      </c>
      <c r="B228" s="3" t="s">
        <v>242</v>
      </c>
      <c r="C228" s="3">
        <v>32.540225999999997</v>
      </c>
      <c r="D228" s="3">
        <v>-98.498428000000004</v>
      </c>
      <c r="E228" s="3" t="s">
        <v>325</v>
      </c>
      <c r="F228" s="3" t="s">
        <v>904</v>
      </c>
      <c r="G228" s="3">
        <v>331</v>
      </c>
      <c r="H228" s="3" t="s">
        <v>16</v>
      </c>
      <c r="I228" s="3" t="s">
        <v>342</v>
      </c>
      <c r="J228" s="10" t="s">
        <v>336</v>
      </c>
      <c r="K228" t="str">
        <f t="shared" si="15"/>
        <v/>
      </c>
      <c r="L228" t="str">
        <f t="shared" si="16"/>
        <v/>
      </c>
      <c r="M228" t="str">
        <f t="shared" si="17"/>
        <v/>
      </c>
      <c r="N228" t="str">
        <f t="shared" si="20"/>
        <v/>
      </c>
      <c r="O228" t="str">
        <f t="shared" si="21"/>
        <v/>
      </c>
    </row>
    <row r="229" spans="1:15" x14ac:dyDescent="0.25">
      <c r="A229" s="3" t="s">
        <v>96</v>
      </c>
      <c r="B229" s="3" t="s">
        <v>243</v>
      </c>
      <c r="C229" s="3">
        <v>31.196697</v>
      </c>
      <c r="D229" s="3">
        <v>-98.666095999999996</v>
      </c>
      <c r="E229" s="3" t="s">
        <v>325</v>
      </c>
      <c r="F229" s="3" t="s">
        <v>905</v>
      </c>
      <c r="G229" s="3">
        <v>3194</v>
      </c>
      <c r="H229" s="3" t="s">
        <v>16</v>
      </c>
      <c r="I229" s="3" t="s">
        <v>342</v>
      </c>
      <c r="J229" s="10" t="s">
        <v>336</v>
      </c>
      <c r="K229" t="str">
        <f t="shared" si="15"/>
        <v/>
      </c>
      <c r="L229" t="str">
        <f t="shared" si="16"/>
        <v/>
      </c>
      <c r="M229" t="str">
        <f t="shared" si="17"/>
        <v/>
      </c>
      <c r="N229" t="str">
        <f t="shared" si="20"/>
        <v/>
      </c>
      <c r="O229" t="str">
        <f t="shared" si="21"/>
        <v/>
      </c>
    </row>
    <row r="230" spans="1:15" x14ac:dyDescent="0.25">
      <c r="A230" s="3" t="s">
        <v>97</v>
      </c>
      <c r="B230" s="3" t="s">
        <v>244</v>
      </c>
      <c r="C230" s="3">
        <v>33.479714000000001</v>
      </c>
      <c r="D230" s="3">
        <v>-98.446611000000004</v>
      </c>
      <c r="E230" s="3" t="s">
        <v>325</v>
      </c>
      <c r="F230" s="3" t="s">
        <v>906</v>
      </c>
      <c r="G230" s="3">
        <v>147</v>
      </c>
      <c r="H230" s="3" t="s">
        <v>16</v>
      </c>
      <c r="I230" s="3" t="s">
        <v>342</v>
      </c>
      <c r="J230" s="10" t="s">
        <v>336</v>
      </c>
      <c r="K230" t="str">
        <f t="shared" si="15"/>
        <v/>
      </c>
      <c r="L230" t="str">
        <f t="shared" si="16"/>
        <v/>
      </c>
      <c r="M230" t="str">
        <f t="shared" si="17"/>
        <v/>
      </c>
      <c r="N230" t="str">
        <f t="shared" si="20"/>
        <v/>
      </c>
      <c r="O230" t="str">
        <f t="shared" si="21"/>
        <v/>
      </c>
    </row>
    <row r="231" spans="1:15" x14ac:dyDescent="0.25">
      <c r="A231" s="3" t="s">
        <v>98</v>
      </c>
      <c r="B231" s="3" t="s">
        <v>245</v>
      </c>
      <c r="C231" s="3">
        <v>32.26932</v>
      </c>
      <c r="D231" s="3">
        <v>-98.555999999999997</v>
      </c>
      <c r="E231" s="3" t="s">
        <v>325</v>
      </c>
      <c r="F231" s="3" t="s">
        <v>907</v>
      </c>
      <c r="G231" s="3">
        <v>15</v>
      </c>
      <c r="H231" s="3" t="s">
        <v>19</v>
      </c>
      <c r="I231" s="3" t="s">
        <v>342</v>
      </c>
      <c r="J231" s="10" t="s">
        <v>336</v>
      </c>
      <c r="K231" t="str">
        <f t="shared" ref="K231:K294" si="22">IF(COUNTIF($F$21:$F$135,A231)&gt;0,"Y","")</f>
        <v/>
      </c>
      <c r="L231" t="str">
        <f t="shared" ref="L231:L294" si="23">IF(K231="Y",H231,"")</f>
        <v/>
      </c>
      <c r="M231" t="str">
        <f t="shared" ref="M231:M294" si="24">IF(K231="Y",J231,"")</f>
        <v/>
      </c>
      <c r="N231" t="str">
        <f t="shared" si="20"/>
        <v/>
      </c>
      <c r="O231" t="str">
        <f t="shared" si="21"/>
        <v/>
      </c>
    </row>
    <row r="232" spans="1:15" x14ac:dyDescent="0.25">
      <c r="A232" s="3" t="s">
        <v>99</v>
      </c>
      <c r="B232" s="3" t="s">
        <v>246</v>
      </c>
      <c r="C232" s="3">
        <v>32.723300000000002</v>
      </c>
      <c r="D232" s="3">
        <v>-99.294290000000004</v>
      </c>
      <c r="E232" s="3" t="s">
        <v>325</v>
      </c>
      <c r="F232" s="3" t="s">
        <v>908</v>
      </c>
      <c r="G232" s="3">
        <v>725</v>
      </c>
      <c r="H232" s="3" t="s">
        <v>17</v>
      </c>
      <c r="I232" s="3" t="s">
        <v>342</v>
      </c>
      <c r="J232" s="10" t="s">
        <v>336</v>
      </c>
      <c r="K232" t="str">
        <f t="shared" si="22"/>
        <v/>
      </c>
      <c r="L232" t="str">
        <f t="shared" si="23"/>
        <v/>
      </c>
      <c r="M232" t="str">
        <f t="shared" si="24"/>
        <v/>
      </c>
      <c r="N232" t="str">
        <f t="shared" ref="N232:N263" si="25">IF(K230="Y",G230,"")</f>
        <v/>
      </c>
      <c r="O232" t="str">
        <f t="shared" ref="O232:O263" si="26">IF(K230="Y",I230,"")</f>
        <v/>
      </c>
    </row>
    <row r="233" spans="1:15" x14ac:dyDescent="0.25">
      <c r="A233" s="3" t="s">
        <v>100</v>
      </c>
      <c r="B233" s="3" t="s">
        <v>247</v>
      </c>
      <c r="C233" s="3">
        <v>32.756028999999998</v>
      </c>
      <c r="D233" s="3">
        <v>-98.902760999999998</v>
      </c>
      <c r="E233" s="3" t="s">
        <v>325</v>
      </c>
      <c r="F233" s="3" t="s">
        <v>909</v>
      </c>
      <c r="G233" s="3">
        <v>404</v>
      </c>
      <c r="H233" s="3" t="s">
        <v>17</v>
      </c>
      <c r="I233" s="3" t="s">
        <v>342</v>
      </c>
      <c r="J233" s="10" t="s">
        <v>336</v>
      </c>
      <c r="K233" t="str">
        <f t="shared" si="22"/>
        <v/>
      </c>
      <c r="L233" t="str">
        <f t="shared" si="23"/>
        <v/>
      </c>
      <c r="M233" t="str">
        <f t="shared" si="24"/>
        <v/>
      </c>
      <c r="N233" t="str">
        <f t="shared" si="25"/>
        <v/>
      </c>
      <c r="O233" t="str">
        <f t="shared" si="26"/>
        <v/>
      </c>
    </row>
    <row r="234" spans="1:15" x14ac:dyDescent="0.25">
      <c r="A234" s="3" t="s">
        <v>101</v>
      </c>
      <c r="B234" s="3" t="s">
        <v>248</v>
      </c>
      <c r="C234" s="3">
        <v>27.733416999999999</v>
      </c>
      <c r="D234" s="3">
        <v>-97.367018000000002</v>
      </c>
      <c r="E234" s="3" t="s">
        <v>325</v>
      </c>
      <c r="F234" s="3" t="s">
        <v>910</v>
      </c>
      <c r="G234" s="3">
        <v>771</v>
      </c>
      <c r="H234" s="3" t="s">
        <v>16</v>
      </c>
      <c r="I234" s="3" t="s">
        <v>342</v>
      </c>
      <c r="J234" s="10" t="s">
        <v>337</v>
      </c>
      <c r="K234" t="str">
        <f t="shared" si="22"/>
        <v/>
      </c>
      <c r="L234" t="str">
        <f t="shared" si="23"/>
        <v/>
      </c>
      <c r="M234" t="str">
        <f t="shared" si="24"/>
        <v/>
      </c>
      <c r="N234" t="str">
        <f t="shared" si="25"/>
        <v/>
      </c>
      <c r="O234" t="str">
        <f t="shared" si="26"/>
        <v/>
      </c>
    </row>
    <row r="235" spans="1:15" x14ac:dyDescent="0.25">
      <c r="A235" s="3" t="s">
        <v>102</v>
      </c>
      <c r="B235" s="3" t="s">
        <v>249</v>
      </c>
      <c r="C235" s="3">
        <v>35.675139999999999</v>
      </c>
      <c r="D235" s="3">
        <v>-101.39221000000001</v>
      </c>
      <c r="E235" s="3" t="s">
        <v>325</v>
      </c>
      <c r="F235" s="3" t="s">
        <v>911</v>
      </c>
      <c r="G235" s="3">
        <v>426</v>
      </c>
      <c r="H235" s="3" t="s">
        <v>16</v>
      </c>
      <c r="I235" s="3" t="s">
        <v>342</v>
      </c>
      <c r="J235" s="10" t="s">
        <v>337</v>
      </c>
      <c r="K235" t="str">
        <f t="shared" si="22"/>
        <v/>
      </c>
      <c r="L235" t="str">
        <f t="shared" si="23"/>
        <v/>
      </c>
      <c r="M235" t="str">
        <f t="shared" si="24"/>
        <v/>
      </c>
      <c r="N235" t="str">
        <f t="shared" si="25"/>
        <v/>
      </c>
      <c r="O235" t="str">
        <f t="shared" si="26"/>
        <v/>
      </c>
    </row>
    <row r="236" spans="1:15" x14ac:dyDescent="0.25">
      <c r="A236" s="3" t="s">
        <v>103</v>
      </c>
      <c r="B236" s="3" t="s">
        <v>250</v>
      </c>
      <c r="C236" s="3">
        <v>30.575323000000001</v>
      </c>
      <c r="D236" s="3">
        <v>-97.411207000000005</v>
      </c>
      <c r="E236" s="3" t="s">
        <v>325</v>
      </c>
      <c r="F236" s="3" t="s">
        <v>912</v>
      </c>
      <c r="G236" s="3">
        <v>911</v>
      </c>
      <c r="H236" s="3" t="s">
        <v>16</v>
      </c>
      <c r="I236" s="3" t="s">
        <v>342</v>
      </c>
      <c r="J236" s="10" t="s">
        <v>337</v>
      </c>
      <c r="K236" t="str">
        <f t="shared" si="22"/>
        <v/>
      </c>
      <c r="L236" t="str">
        <f t="shared" si="23"/>
        <v/>
      </c>
      <c r="M236" t="str">
        <f t="shared" si="24"/>
        <v/>
      </c>
      <c r="N236" t="str">
        <f t="shared" si="25"/>
        <v/>
      </c>
      <c r="O236" t="str">
        <f t="shared" si="26"/>
        <v/>
      </c>
    </row>
    <row r="237" spans="1:15" x14ac:dyDescent="0.25">
      <c r="A237" s="3" t="s">
        <v>104</v>
      </c>
      <c r="B237" s="3" t="s">
        <v>251</v>
      </c>
      <c r="C237" s="3">
        <v>35.353096000000001</v>
      </c>
      <c r="D237" s="3">
        <v>-101.37066299999999</v>
      </c>
      <c r="E237" s="3" t="s">
        <v>325</v>
      </c>
      <c r="F237" s="3" t="s">
        <v>913</v>
      </c>
      <c r="G237" s="3">
        <v>403</v>
      </c>
      <c r="H237" s="3" t="s">
        <v>18</v>
      </c>
      <c r="I237" s="3" t="s">
        <v>342</v>
      </c>
      <c r="J237" s="10" t="s">
        <v>337</v>
      </c>
      <c r="K237" t="str">
        <f t="shared" si="22"/>
        <v/>
      </c>
      <c r="L237" t="str">
        <f t="shared" si="23"/>
        <v/>
      </c>
      <c r="M237" t="str">
        <f t="shared" si="24"/>
        <v/>
      </c>
      <c r="N237" t="str">
        <f t="shared" si="25"/>
        <v/>
      </c>
      <c r="O237" t="str">
        <f t="shared" si="26"/>
        <v/>
      </c>
    </row>
    <row r="238" spans="1:15" x14ac:dyDescent="0.25">
      <c r="A238" s="3" t="s">
        <v>105</v>
      </c>
      <c r="B238" s="3" t="s">
        <v>252</v>
      </c>
      <c r="C238" s="3">
        <v>32.964198000000003</v>
      </c>
      <c r="D238" s="3">
        <v>-102.81938</v>
      </c>
      <c r="E238" s="3" t="s">
        <v>325</v>
      </c>
      <c r="F238" s="3" t="s">
        <v>914</v>
      </c>
      <c r="G238" s="3">
        <v>382</v>
      </c>
      <c r="H238" s="3" t="s">
        <v>18</v>
      </c>
      <c r="I238" s="3" t="s">
        <v>342</v>
      </c>
      <c r="J238" s="10" t="s">
        <v>338</v>
      </c>
      <c r="K238" t="str">
        <f t="shared" si="22"/>
        <v/>
      </c>
      <c r="L238" t="str">
        <f t="shared" si="23"/>
        <v/>
      </c>
      <c r="M238" t="str">
        <f t="shared" si="24"/>
        <v/>
      </c>
      <c r="N238" t="str">
        <f t="shared" si="25"/>
        <v/>
      </c>
      <c r="O238" t="str">
        <f t="shared" si="26"/>
        <v/>
      </c>
    </row>
    <row r="239" spans="1:15" x14ac:dyDescent="0.25">
      <c r="A239" s="3" t="s">
        <v>106</v>
      </c>
      <c r="B239" s="3" t="s">
        <v>253</v>
      </c>
      <c r="C239" s="3">
        <v>31.862044999999998</v>
      </c>
      <c r="D239" s="3">
        <v>-102.34671400000001</v>
      </c>
      <c r="E239" s="3" t="s">
        <v>325</v>
      </c>
      <c r="F239" s="3" t="s">
        <v>915</v>
      </c>
      <c r="G239" s="3">
        <v>335</v>
      </c>
      <c r="H239" s="3" t="s">
        <v>18</v>
      </c>
      <c r="I239" s="3" t="s">
        <v>342</v>
      </c>
      <c r="J239" s="10" t="s">
        <v>338</v>
      </c>
      <c r="K239" t="str">
        <f t="shared" si="22"/>
        <v/>
      </c>
      <c r="L239" t="str">
        <f t="shared" si="23"/>
        <v/>
      </c>
      <c r="M239" t="str">
        <f t="shared" si="24"/>
        <v/>
      </c>
      <c r="N239" t="str">
        <f t="shared" si="25"/>
        <v/>
      </c>
      <c r="O239" t="str">
        <f t="shared" si="26"/>
        <v/>
      </c>
    </row>
    <row r="240" spans="1:15" x14ac:dyDescent="0.25">
      <c r="A240" s="3" t="s">
        <v>107</v>
      </c>
      <c r="B240" s="3" t="s">
        <v>254</v>
      </c>
      <c r="C240" s="3">
        <v>31.320489999999999</v>
      </c>
      <c r="D240" s="3">
        <v>-101.94337</v>
      </c>
      <c r="E240" s="3" t="s">
        <v>325</v>
      </c>
      <c r="F240" s="3" t="s">
        <v>916</v>
      </c>
      <c r="G240" s="3">
        <v>619</v>
      </c>
      <c r="H240" s="3" t="s">
        <v>19</v>
      </c>
      <c r="I240" s="3" t="s">
        <v>342</v>
      </c>
      <c r="J240" s="10" t="s">
        <v>338</v>
      </c>
      <c r="K240" t="str">
        <f t="shared" si="22"/>
        <v/>
      </c>
      <c r="L240" t="str">
        <f t="shared" si="23"/>
        <v/>
      </c>
      <c r="M240" t="str">
        <f t="shared" si="24"/>
        <v/>
      </c>
      <c r="N240" t="str">
        <f t="shared" si="25"/>
        <v/>
      </c>
      <c r="O240" t="str">
        <f t="shared" si="26"/>
        <v/>
      </c>
    </row>
    <row r="241" spans="1:15" x14ac:dyDescent="0.25">
      <c r="A241" s="3" t="s">
        <v>108</v>
      </c>
      <c r="B241" s="3" t="s">
        <v>255</v>
      </c>
      <c r="C241" s="3">
        <v>30.12172</v>
      </c>
      <c r="D241" s="3">
        <v>-94.646879999999996</v>
      </c>
      <c r="E241" s="3" t="s">
        <v>325</v>
      </c>
      <c r="F241" s="3" t="s">
        <v>917</v>
      </c>
      <c r="G241" s="3">
        <v>1205</v>
      </c>
      <c r="H241" s="3" t="s">
        <v>18</v>
      </c>
      <c r="I241" s="3" t="s">
        <v>342</v>
      </c>
      <c r="J241" s="10" t="s">
        <v>339</v>
      </c>
      <c r="K241" t="str">
        <f t="shared" si="22"/>
        <v/>
      </c>
      <c r="L241" t="str">
        <f t="shared" si="23"/>
        <v/>
      </c>
      <c r="M241" t="str">
        <f t="shared" si="24"/>
        <v/>
      </c>
      <c r="N241" t="str">
        <f t="shared" si="25"/>
        <v/>
      </c>
      <c r="O241" t="str">
        <f t="shared" si="26"/>
        <v/>
      </c>
    </row>
    <row r="242" spans="1:15" x14ac:dyDescent="0.25">
      <c r="A242" s="3" t="s">
        <v>109</v>
      </c>
      <c r="B242" s="3" t="s">
        <v>256</v>
      </c>
      <c r="C242" s="3">
        <v>30.086390000000002</v>
      </c>
      <c r="D242" s="3">
        <v>-94.103399999999993</v>
      </c>
      <c r="E242" s="3" t="s">
        <v>325</v>
      </c>
      <c r="F242" s="3" t="s">
        <v>918</v>
      </c>
      <c r="G242" s="3">
        <v>1737</v>
      </c>
      <c r="H242" s="3" t="s">
        <v>16</v>
      </c>
      <c r="I242" s="3" t="s">
        <v>342</v>
      </c>
      <c r="J242" s="10" t="s">
        <v>341</v>
      </c>
      <c r="K242" t="str">
        <f t="shared" si="22"/>
        <v/>
      </c>
      <c r="L242" t="str">
        <f t="shared" si="23"/>
        <v/>
      </c>
      <c r="M242" t="str">
        <f t="shared" si="24"/>
        <v/>
      </c>
      <c r="N242" t="str">
        <f t="shared" si="25"/>
        <v/>
      </c>
      <c r="O242" t="str">
        <f t="shared" si="26"/>
        <v/>
      </c>
    </row>
    <row r="243" spans="1:15" x14ac:dyDescent="0.25">
      <c r="A243" s="3" t="s">
        <v>110</v>
      </c>
      <c r="B243" s="3" t="s">
        <v>257</v>
      </c>
      <c r="C243" s="3">
        <v>29.343467</v>
      </c>
      <c r="D243" s="3">
        <v>-98.469841000000002</v>
      </c>
      <c r="E243" s="3" t="s">
        <v>328</v>
      </c>
      <c r="F243" s="3" t="s">
        <v>919</v>
      </c>
      <c r="G243" s="3">
        <v>636</v>
      </c>
      <c r="H243" s="3" t="s">
        <v>16</v>
      </c>
      <c r="I243" s="3" t="s">
        <v>342</v>
      </c>
      <c r="J243" s="10" t="s">
        <v>341</v>
      </c>
      <c r="K243" t="str">
        <f t="shared" si="22"/>
        <v/>
      </c>
      <c r="L243" t="str">
        <f t="shared" si="23"/>
        <v/>
      </c>
      <c r="M243" t="str">
        <f t="shared" si="24"/>
        <v/>
      </c>
      <c r="N243" t="str">
        <f t="shared" si="25"/>
        <v/>
      </c>
      <c r="O243" t="str">
        <f t="shared" si="26"/>
        <v/>
      </c>
    </row>
    <row r="244" spans="1:15" x14ac:dyDescent="0.25">
      <c r="A244" s="3" t="s">
        <v>111</v>
      </c>
      <c r="B244" s="3" t="s">
        <v>258</v>
      </c>
      <c r="C244" s="3">
        <v>30.085933000000001</v>
      </c>
      <c r="D244" s="3">
        <v>-94.099052999999998</v>
      </c>
      <c r="E244" s="3" t="s">
        <v>325</v>
      </c>
      <c r="F244" s="3" t="s">
        <v>920</v>
      </c>
      <c r="G244" s="3">
        <v>684</v>
      </c>
      <c r="H244" s="3" t="s">
        <v>19</v>
      </c>
      <c r="I244" s="3" t="s">
        <v>342</v>
      </c>
      <c r="J244" s="10" t="s">
        <v>341</v>
      </c>
      <c r="K244" t="str">
        <f t="shared" si="22"/>
        <v/>
      </c>
      <c r="L244" t="str">
        <f t="shared" si="23"/>
        <v/>
      </c>
      <c r="M244" t="str">
        <f t="shared" si="24"/>
        <v/>
      </c>
      <c r="N244" t="str">
        <f t="shared" si="25"/>
        <v/>
      </c>
      <c r="O244" t="str">
        <f t="shared" si="26"/>
        <v/>
      </c>
    </row>
    <row r="245" spans="1:15" x14ac:dyDescent="0.25">
      <c r="A245" s="3" t="s">
        <v>112</v>
      </c>
      <c r="B245" s="3" t="s">
        <v>259</v>
      </c>
      <c r="C245" s="3">
        <v>31.473835999999999</v>
      </c>
      <c r="D245" s="3">
        <v>-94.474611999999993</v>
      </c>
      <c r="E245" s="3" t="s">
        <v>325</v>
      </c>
      <c r="F245" s="3" t="s">
        <v>921</v>
      </c>
      <c r="G245" s="3">
        <v>4742</v>
      </c>
      <c r="H245" s="3" t="s">
        <v>20</v>
      </c>
      <c r="I245" s="3" t="s">
        <v>343</v>
      </c>
      <c r="J245" s="10" t="s">
        <v>334</v>
      </c>
      <c r="K245" t="str">
        <f t="shared" si="22"/>
        <v/>
      </c>
      <c r="L245" t="str">
        <f t="shared" si="23"/>
        <v/>
      </c>
      <c r="M245" t="str">
        <f t="shared" si="24"/>
        <v/>
      </c>
      <c r="N245" t="str">
        <f t="shared" si="25"/>
        <v/>
      </c>
      <c r="O245" t="str">
        <f t="shared" si="26"/>
        <v/>
      </c>
    </row>
    <row r="246" spans="1:15" x14ac:dyDescent="0.25">
      <c r="A246" s="3" t="s">
        <v>113</v>
      </c>
      <c r="B246" s="3" t="s">
        <v>260</v>
      </c>
      <c r="C246" s="3">
        <v>31.661629999999999</v>
      </c>
      <c r="D246" s="3">
        <v>-96.499650000000003</v>
      </c>
      <c r="E246" s="3" t="s">
        <v>325</v>
      </c>
      <c r="F246" s="3" t="s">
        <v>922</v>
      </c>
      <c r="G246" s="3">
        <v>1530</v>
      </c>
      <c r="H246" s="3" t="s">
        <v>20</v>
      </c>
      <c r="I246" s="3" t="s">
        <v>343</v>
      </c>
      <c r="J246" s="10" t="s">
        <v>334</v>
      </c>
      <c r="K246" t="str">
        <f t="shared" si="22"/>
        <v/>
      </c>
      <c r="L246" t="str">
        <f t="shared" si="23"/>
        <v/>
      </c>
      <c r="M246" t="str">
        <f t="shared" si="24"/>
        <v/>
      </c>
      <c r="N246" t="str">
        <f t="shared" si="25"/>
        <v/>
      </c>
      <c r="O246" t="str">
        <f t="shared" si="26"/>
        <v/>
      </c>
    </row>
    <row r="247" spans="1:15" x14ac:dyDescent="0.25">
      <c r="A247" s="3" t="s">
        <v>114</v>
      </c>
      <c r="B247" s="3" t="s">
        <v>261</v>
      </c>
      <c r="C247" s="3">
        <v>31.77403</v>
      </c>
      <c r="D247" s="3">
        <v>-96.468609999999998</v>
      </c>
      <c r="E247" s="3" t="s">
        <v>325</v>
      </c>
      <c r="F247" s="3" t="s">
        <v>923</v>
      </c>
      <c r="G247" s="3">
        <v>1533</v>
      </c>
      <c r="H247" s="3" t="s">
        <v>20</v>
      </c>
      <c r="I247" s="3" t="s">
        <v>343</v>
      </c>
      <c r="J247" s="10" t="s">
        <v>334</v>
      </c>
      <c r="K247" t="str">
        <f t="shared" si="22"/>
        <v/>
      </c>
      <c r="L247" t="str">
        <f t="shared" si="23"/>
        <v/>
      </c>
      <c r="M247" t="str">
        <f t="shared" si="24"/>
        <v/>
      </c>
      <c r="N247" t="str">
        <f t="shared" si="25"/>
        <v/>
      </c>
      <c r="O247" t="str">
        <f t="shared" si="26"/>
        <v/>
      </c>
    </row>
    <row r="248" spans="1:15" x14ac:dyDescent="0.25">
      <c r="A248" s="3" t="s">
        <v>115</v>
      </c>
      <c r="B248" s="3" t="s">
        <v>262</v>
      </c>
      <c r="C248" s="3">
        <v>31.477264000000002</v>
      </c>
      <c r="D248" s="3">
        <v>-94.486904999999993</v>
      </c>
      <c r="E248" s="3" t="s">
        <v>325</v>
      </c>
      <c r="F248" s="3" t="s">
        <v>924</v>
      </c>
      <c r="G248" s="3">
        <v>474</v>
      </c>
      <c r="H248" s="3" t="s">
        <v>20</v>
      </c>
      <c r="I248" s="3" t="s">
        <v>343</v>
      </c>
      <c r="J248" s="10" t="s">
        <v>334</v>
      </c>
      <c r="K248" t="str">
        <f t="shared" si="22"/>
        <v/>
      </c>
      <c r="L248" t="str">
        <f t="shared" si="23"/>
        <v/>
      </c>
      <c r="M248" t="str">
        <f t="shared" si="24"/>
        <v/>
      </c>
      <c r="N248" t="str">
        <f t="shared" si="25"/>
        <v/>
      </c>
      <c r="O248" t="str">
        <f t="shared" si="26"/>
        <v/>
      </c>
    </row>
    <row r="249" spans="1:15" x14ac:dyDescent="0.25">
      <c r="A249" s="3" t="s">
        <v>116</v>
      </c>
      <c r="B249" s="3" t="s">
        <v>263</v>
      </c>
      <c r="C249" s="3">
        <v>32.117469999999997</v>
      </c>
      <c r="D249" s="3">
        <v>-96.326329999999999</v>
      </c>
      <c r="E249" s="3" t="s">
        <v>325</v>
      </c>
      <c r="F249" s="3" t="s">
        <v>925</v>
      </c>
      <c r="G249" s="3">
        <v>1696</v>
      </c>
      <c r="H249" s="3" t="s">
        <v>20</v>
      </c>
      <c r="I249" s="3" t="s">
        <v>343</v>
      </c>
      <c r="J249" s="10" t="s">
        <v>334</v>
      </c>
      <c r="K249" t="str">
        <f t="shared" si="22"/>
        <v/>
      </c>
      <c r="L249" t="str">
        <f t="shared" si="23"/>
        <v/>
      </c>
      <c r="M249" t="str">
        <f t="shared" si="24"/>
        <v/>
      </c>
      <c r="N249" t="str">
        <f t="shared" si="25"/>
        <v/>
      </c>
      <c r="O249" t="str">
        <f t="shared" si="26"/>
        <v/>
      </c>
    </row>
    <row r="250" spans="1:15" x14ac:dyDescent="0.25">
      <c r="A250" s="3" t="s">
        <v>117</v>
      </c>
      <c r="B250" s="3" t="s">
        <v>264</v>
      </c>
      <c r="C250" s="3">
        <v>33.365830000000003</v>
      </c>
      <c r="D250" s="3">
        <v>-95.106112999999993</v>
      </c>
      <c r="E250" s="3" t="s">
        <v>325</v>
      </c>
      <c r="F250" s="3" t="s">
        <v>926</v>
      </c>
      <c r="G250" s="3">
        <v>694</v>
      </c>
      <c r="H250" s="3" t="s">
        <v>20</v>
      </c>
      <c r="I250" s="3" t="s">
        <v>343</v>
      </c>
      <c r="J250" s="10" t="s">
        <v>334</v>
      </c>
      <c r="K250" t="str">
        <f t="shared" si="22"/>
        <v/>
      </c>
      <c r="L250" t="str">
        <f t="shared" si="23"/>
        <v/>
      </c>
      <c r="M250" t="str">
        <f t="shared" si="24"/>
        <v/>
      </c>
      <c r="N250" t="str">
        <f t="shared" si="25"/>
        <v/>
      </c>
      <c r="O250" t="str">
        <f t="shared" si="26"/>
        <v/>
      </c>
    </row>
    <row r="251" spans="1:15" x14ac:dyDescent="0.25">
      <c r="A251" s="3" t="s">
        <v>118</v>
      </c>
      <c r="B251" s="3" t="s">
        <v>265</v>
      </c>
      <c r="C251" s="3">
        <v>31.787600000000001</v>
      </c>
      <c r="D251" s="3">
        <v>-96.464290000000005</v>
      </c>
      <c r="E251" s="3" t="s">
        <v>325</v>
      </c>
      <c r="F251" s="3" t="s">
        <v>927</v>
      </c>
      <c r="G251" s="3">
        <v>205</v>
      </c>
      <c r="H251" s="3" t="s">
        <v>20</v>
      </c>
      <c r="I251" s="3" t="s">
        <v>343</v>
      </c>
      <c r="J251" s="10" t="s">
        <v>334</v>
      </c>
      <c r="K251" t="str">
        <f t="shared" si="22"/>
        <v/>
      </c>
      <c r="L251" t="str">
        <f t="shared" si="23"/>
        <v/>
      </c>
      <c r="M251" t="str">
        <f t="shared" si="24"/>
        <v/>
      </c>
      <c r="N251" t="str">
        <f t="shared" si="25"/>
        <v/>
      </c>
      <c r="O251" t="str">
        <f t="shared" si="26"/>
        <v/>
      </c>
    </row>
    <row r="252" spans="1:15" x14ac:dyDescent="0.25">
      <c r="A252" s="3" t="s">
        <v>119</v>
      </c>
      <c r="B252" s="3" t="s">
        <v>266</v>
      </c>
      <c r="C252" s="3">
        <v>28.995940000000001</v>
      </c>
      <c r="D252" s="3">
        <v>-96.138859999999994</v>
      </c>
      <c r="E252" s="3" t="s">
        <v>325</v>
      </c>
      <c r="F252" s="3" t="s">
        <v>928</v>
      </c>
      <c r="G252" s="3">
        <v>1256</v>
      </c>
      <c r="H252" s="3" t="s">
        <v>20</v>
      </c>
      <c r="I252" s="3" t="s">
        <v>343</v>
      </c>
      <c r="J252" s="10" t="s">
        <v>335</v>
      </c>
      <c r="K252" t="str">
        <f t="shared" si="22"/>
        <v/>
      </c>
      <c r="L252" t="str">
        <f t="shared" si="23"/>
        <v/>
      </c>
      <c r="M252" t="str">
        <f t="shared" si="24"/>
        <v/>
      </c>
      <c r="N252" t="str">
        <f t="shared" si="25"/>
        <v/>
      </c>
      <c r="O252" t="str">
        <f t="shared" si="26"/>
        <v/>
      </c>
    </row>
    <row r="253" spans="1:15" x14ac:dyDescent="0.25">
      <c r="A253" s="3" t="s">
        <v>120</v>
      </c>
      <c r="B253" s="3" t="s">
        <v>267</v>
      </c>
      <c r="C253" s="3">
        <v>29.729939999999999</v>
      </c>
      <c r="D253" s="3">
        <v>-94.968919999999997</v>
      </c>
      <c r="E253" s="3" t="s">
        <v>325</v>
      </c>
      <c r="F253" s="3" t="s">
        <v>929</v>
      </c>
      <c r="G253" s="3">
        <v>535</v>
      </c>
      <c r="H253" s="3" t="s">
        <v>20</v>
      </c>
      <c r="I253" s="3" t="s">
        <v>343</v>
      </c>
      <c r="J253" s="10" t="s">
        <v>335</v>
      </c>
      <c r="K253" t="str">
        <f t="shared" si="22"/>
        <v/>
      </c>
      <c r="L253" t="str">
        <f t="shared" si="23"/>
        <v/>
      </c>
      <c r="M253" t="str">
        <f t="shared" si="24"/>
        <v/>
      </c>
      <c r="N253" t="str">
        <f t="shared" si="25"/>
        <v/>
      </c>
      <c r="O253" t="str">
        <f t="shared" si="26"/>
        <v/>
      </c>
    </row>
    <row r="254" spans="1:15" x14ac:dyDescent="0.25">
      <c r="A254" s="3" t="s">
        <v>121</v>
      </c>
      <c r="B254" s="3" t="s">
        <v>268</v>
      </c>
      <c r="C254" s="3">
        <v>30.325626</v>
      </c>
      <c r="D254" s="3">
        <v>-96.511602999999994</v>
      </c>
      <c r="E254" s="3" t="s">
        <v>325</v>
      </c>
      <c r="F254" s="3" t="s">
        <v>930</v>
      </c>
      <c r="G254" s="3">
        <v>321</v>
      </c>
      <c r="H254" s="3" t="s">
        <v>20</v>
      </c>
      <c r="I254" s="3" t="s">
        <v>343</v>
      </c>
      <c r="J254" s="10" t="s">
        <v>335</v>
      </c>
      <c r="K254" t="str">
        <f t="shared" si="22"/>
        <v/>
      </c>
      <c r="L254" t="str">
        <f t="shared" si="23"/>
        <v/>
      </c>
      <c r="M254" t="str">
        <f t="shared" si="24"/>
        <v/>
      </c>
      <c r="N254" t="str">
        <f t="shared" si="25"/>
        <v/>
      </c>
      <c r="O254" t="str">
        <f t="shared" si="26"/>
        <v/>
      </c>
    </row>
    <row r="255" spans="1:15" x14ac:dyDescent="0.25">
      <c r="A255" s="3" t="s">
        <v>122</v>
      </c>
      <c r="B255" s="3" t="s">
        <v>269</v>
      </c>
      <c r="C255" s="3">
        <v>34.091766999999997</v>
      </c>
      <c r="D255" s="3">
        <v>-98.696924999999993</v>
      </c>
      <c r="E255" s="3" t="s">
        <v>325</v>
      </c>
      <c r="F255" s="3" t="s">
        <v>931</v>
      </c>
      <c r="G255" s="3">
        <v>358</v>
      </c>
      <c r="H255" s="3" t="s">
        <v>20</v>
      </c>
      <c r="I255" s="3" t="s">
        <v>343</v>
      </c>
      <c r="J255" s="10" t="s">
        <v>336</v>
      </c>
      <c r="K255" t="str">
        <f t="shared" si="22"/>
        <v/>
      </c>
      <c r="L255" t="str">
        <f t="shared" si="23"/>
        <v/>
      </c>
      <c r="M255" t="str">
        <f t="shared" si="24"/>
        <v/>
      </c>
      <c r="N255" t="str">
        <f t="shared" si="25"/>
        <v/>
      </c>
      <c r="O255" t="str">
        <f t="shared" si="26"/>
        <v/>
      </c>
    </row>
    <row r="256" spans="1:15" x14ac:dyDescent="0.25">
      <c r="A256" s="3" t="s">
        <v>123</v>
      </c>
      <c r="B256" s="3" t="s">
        <v>270</v>
      </c>
      <c r="C256" s="3">
        <v>32.514560000000003</v>
      </c>
      <c r="D256" s="3">
        <v>-98.68638</v>
      </c>
      <c r="E256" s="3" t="s">
        <v>325</v>
      </c>
      <c r="F256" s="3" t="s">
        <v>932</v>
      </c>
      <c r="G256" s="3">
        <v>524</v>
      </c>
      <c r="H256" s="3" t="s">
        <v>20</v>
      </c>
      <c r="I256" s="3" t="s">
        <v>343</v>
      </c>
      <c r="J256" s="10" t="s">
        <v>336</v>
      </c>
      <c r="K256" t="str">
        <f t="shared" si="22"/>
        <v/>
      </c>
      <c r="L256" t="str">
        <f t="shared" si="23"/>
        <v/>
      </c>
      <c r="M256" t="str">
        <f t="shared" si="24"/>
        <v/>
      </c>
      <c r="N256" t="str">
        <f t="shared" si="25"/>
        <v/>
      </c>
      <c r="O256" t="str">
        <f t="shared" si="26"/>
        <v/>
      </c>
    </row>
    <row r="257" spans="1:15" x14ac:dyDescent="0.25">
      <c r="A257" s="3" t="s">
        <v>124</v>
      </c>
      <c r="B257" s="3" t="s">
        <v>271</v>
      </c>
      <c r="C257" s="3">
        <v>34.100990000000003</v>
      </c>
      <c r="D257" s="3">
        <v>-98.547550000000001</v>
      </c>
      <c r="E257" s="3" t="s">
        <v>325</v>
      </c>
      <c r="F257" s="3" t="s">
        <v>933</v>
      </c>
      <c r="G257" s="3">
        <v>355</v>
      </c>
      <c r="H257" s="3" t="s">
        <v>20</v>
      </c>
      <c r="I257" s="3" t="s">
        <v>343</v>
      </c>
      <c r="J257" s="10" t="s">
        <v>336</v>
      </c>
      <c r="K257" t="str">
        <f t="shared" si="22"/>
        <v/>
      </c>
      <c r="L257" t="str">
        <f t="shared" si="23"/>
        <v/>
      </c>
      <c r="M257" t="str">
        <f t="shared" si="24"/>
        <v/>
      </c>
      <c r="N257" t="str">
        <f t="shared" si="25"/>
        <v/>
      </c>
      <c r="O257" t="str">
        <f t="shared" si="26"/>
        <v/>
      </c>
    </row>
    <row r="258" spans="1:15" x14ac:dyDescent="0.25">
      <c r="A258" s="3" t="s">
        <v>125</v>
      </c>
      <c r="B258" s="3" t="s">
        <v>272</v>
      </c>
      <c r="C258" s="3">
        <v>34.096677</v>
      </c>
      <c r="D258" s="3">
        <v>-98.674077999999994</v>
      </c>
      <c r="E258" s="3" t="s">
        <v>325</v>
      </c>
      <c r="F258" s="3" t="s">
        <v>934</v>
      </c>
      <c r="G258" s="3">
        <v>358</v>
      </c>
      <c r="H258" s="3" t="s">
        <v>20</v>
      </c>
      <c r="I258" s="3" t="s">
        <v>343</v>
      </c>
      <c r="J258" s="10" t="s">
        <v>336</v>
      </c>
      <c r="K258" t="str">
        <f t="shared" si="22"/>
        <v/>
      </c>
      <c r="L258" t="str">
        <f t="shared" si="23"/>
        <v/>
      </c>
      <c r="M258" t="str">
        <f t="shared" si="24"/>
        <v/>
      </c>
      <c r="N258" t="str">
        <f t="shared" si="25"/>
        <v/>
      </c>
      <c r="O258" t="str">
        <f t="shared" si="26"/>
        <v/>
      </c>
    </row>
    <row r="259" spans="1:15" x14ac:dyDescent="0.25">
      <c r="A259" s="3" t="s">
        <v>126</v>
      </c>
      <c r="B259" s="3" t="s">
        <v>273</v>
      </c>
      <c r="C259" s="3">
        <v>32.269280000000002</v>
      </c>
      <c r="D259" s="3">
        <v>-98.555109999999999</v>
      </c>
      <c r="E259" s="3" t="s">
        <v>325</v>
      </c>
      <c r="F259" s="3" t="s">
        <v>935</v>
      </c>
      <c r="G259" s="3">
        <v>443</v>
      </c>
      <c r="H259" s="3" t="s">
        <v>20</v>
      </c>
      <c r="I259" s="3" t="s">
        <v>343</v>
      </c>
      <c r="J259" s="10" t="s">
        <v>336</v>
      </c>
      <c r="K259" t="str">
        <f t="shared" si="22"/>
        <v/>
      </c>
      <c r="L259" t="str">
        <f t="shared" si="23"/>
        <v/>
      </c>
      <c r="M259" t="str">
        <f t="shared" si="24"/>
        <v/>
      </c>
      <c r="N259" t="str">
        <f t="shared" si="25"/>
        <v/>
      </c>
      <c r="O259" t="str">
        <f t="shared" si="26"/>
        <v/>
      </c>
    </row>
    <row r="260" spans="1:15" x14ac:dyDescent="0.25">
      <c r="A260" s="3" t="s">
        <v>127</v>
      </c>
      <c r="B260" s="3" t="s">
        <v>274</v>
      </c>
      <c r="C260" s="3">
        <v>32.960059999999999</v>
      </c>
      <c r="D260" s="3">
        <v>-98.766080000000002</v>
      </c>
      <c r="E260" s="3" t="s">
        <v>325</v>
      </c>
      <c r="F260" s="3" t="s">
        <v>936</v>
      </c>
      <c r="G260" s="3">
        <v>2146</v>
      </c>
      <c r="H260" s="3" t="s">
        <v>20</v>
      </c>
      <c r="I260" s="3" t="s">
        <v>343</v>
      </c>
      <c r="J260" s="10" t="s">
        <v>336</v>
      </c>
      <c r="K260" t="str">
        <f t="shared" si="22"/>
        <v/>
      </c>
      <c r="L260" t="str">
        <f t="shared" si="23"/>
        <v/>
      </c>
      <c r="M260" t="str">
        <f t="shared" si="24"/>
        <v/>
      </c>
      <c r="N260" t="str">
        <f t="shared" si="25"/>
        <v/>
      </c>
      <c r="O260" t="str">
        <f t="shared" si="26"/>
        <v/>
      </c>
    </row>
    <row r="261" spans="1:15" x14ac:dyDescent="0.25">
      <c r="A261" s="3" t="s">
        <v>128</v>
      </c>
      <c r="B261" s="3" t="s">
        <v>275</v>
      </c>
      <c r="C261" s="3">
        <v>32.268520000000002</v>
      </c>
      <c r="D261" s="3">
        <v>-98.551329999999993</v>
      </c>
      <c r="E261" s="3" t="s">
        <v>325</v>
      </c>
      <c r="F261" s="3" t="s">
        <v>937</v>
      </c>
      <c r="G261" s="3">
        <v>363</v>
      </c>
      <c r="H261" s="3" t="s">
        <v>20</v>
      </c>
      <c r="I261" s="3" t="s">
        <v>343</v>
      </c>
      <c r="J261" s="10" t="s">
        <v>336</v>
      </c>
      <c r="K261" t="str">
        <f t="shared" si="22"/>
        <v/>
      </c>
      <c r="L261" t="str">
        <f t="shared" si="23"/>
        <v/>
      </c>
      <c r="M261" t="str">
        <f t="shared" si="24"/>
        <v/>
      </c>
      <c r="N261" t="str">
        <f t="shared" si="25"/>
        <v/>
      </c>
      <c r="O261" t="str">
        <f t="shared" si="26"/>
        <v/>
      </c>
    </row>
    <row r="262" spans="1:15" x14ac:dyDescent="0.25">
      <c r="A262" s="3" t="s">
        <v>129</v>
      </c>
      <c r="B262" s="3" t="s">
        <v>276</v>
      </c>
      <c r="C262" s="3">
        <v>32.541130000000003</v>
      </c>
      <c r="D262" s="3">
        <v>-98.873440000000002</v>
      </c>
      <c r="E262" s="3" t="s">
        <v>325</v>
      </c>
      <c r="F262" s="3" t="s">
        <v>938</v>
      </c>
      <c r="G262" s="3">
        <v>1551</v>
      </c>
      <c r="H262" s="3" t="s">
        <v>20</v>
      </c>
      <c r="I262" s="3" t="s">
        <v>343</v>
      </c>
      <c r="J262" s="10" t="s">
        <v>336</v>
      </c>
      <c r="K262" t="str">
        <f t="shared" si="22"/>
        <v/>
      </c>
      <c r="L262" t="str">
        <f t="shared" si="23"/>
        <v/>
      </c>
      <c r="M262" t="str">
        <f t="shared" si="24"/>
        <v/>
      </c>
      <c r="N262" t="str">
        <f t="shared" si="25"/>
        <v/>
      </c>
      <c r="O262" t="str">
        <f t="shared" si="26"/>
        <v/>
      </c>
    </row>
    <row r="263" spans="1:15" x14ac:dyDescent="0.25">
      <c r="A263" s="3" t="s">
        <v>130</v>
      </c>
      <c r="B263" s="3" t="s">
        <v>277</v>
      </c>
      <c r="C263" s="3">
        <v>32.683039999999998</v>
      </c>
      <c r="D263" s="3">
        <v>-99.131870000000006</v>
      </c>
      <c r="E263" s="3" t="s">
        <v>325</v>
      </c>
      <c r="F263" s="3" t="s">
        <v>939</v>
      </c>
      <c r="G263" s="3">
        <v>4239</v>
      </c>
      <c r="H263" s="3" t="s">
        <v>20</v>
      </c>
      <c r="I263" s="3" t="s">
        <v>343</v>
      </c>
      <c r="J263" s="10" t="s">
        <v>336</v>
      </c>
      <c r="K263" t="str">
        <f t="shared" si="22"/>
        <v/>
      </c>
      <c r="L263" t="str">
        <f t="shared" si="23"/>
        <v/>
      </c>
      <c r="M263" t="str">
        <f t="shared" si="24"/>
        <v/>
      </c>
      <c r="N263" t="str">
        <f t="shared" si="25"/>
        <v/>
      </c>
      <c r="O263" t="str">
        <f t="shared" si="26"/>
        <v/>
      </c>
    </row>
    <row r="264" spans="1:15" x14ac:dyDescent="0.25">
      <c r="A264" s="3" t="s">
        <v>131</v>
      </c>
      <c r="B264" s="3" t="s">
        <v>278</v>
      </c>
      <c r="C264" s="3">
        <v>33.450592</v>
      </c>
      <c r="D264" s="3">
        <v>-98.927442999999997</v>
      </c>
      <c r="E264" s="3" t="s">
        <v>325</v>
      </c>
      <c r="F264" s="3" t="s">
        <v>940</v>
      </c>
      <c r="G264" s="3">
        <v>2584</v>
      </c>
      <c r="H264" s="3" t="s">
        <v>20</v>
      </c>
      <c r="I264" s="3" t="s">
        <v>343</v>
      </c>
      <c r="J264" s="10" t="s">
        <v>336</v>
      </c>
      <c r="K264" t="str">
        <f t="shared" si="22"/>
        <v/>
      </c>
      <c r="L264" t="str">
        <f t="shared" si="23"/>
        <v/>
      </c>
      <c r="M264" t="str">
        <f t="shared" si="24"/>
        <v/>
      </c>
      <c r="N264" t="str">
        <f t="shared" ref="N264:N295" si="27">IF(K262="Y",G262,"")</f>
        <v/>
      </c>
      <c r="O264" t="str">
        <f t="shared" ref="O264:O295" si="28">IF(K262="Y",I262,"")</f>
        <v/>
      </c>
    </row>
    <row r="265" spans="1:15" x14ac:dyDescent="0.25">
      <c r="A265" s="3" t="s">
        <v>132</v>
      </c>
      <c r="B265" s="3" t="s">
        <v>279</v>
      </c>
      <c r="C265" s="3">
        <v>32.423302</v>
      </c>
      <c r="D265" s="3">
        <v>-98.698639</v>
      </c>
      <c r="E265" s="3" t="s">
        <v>325</v>
      </c>
      <c r="F265" s="3" t="s">
        <v>941</v>
      </c>
      <c r="G265" s="3">
        <v>127</v>
      </c>
      <c r="H265" s="3" t="s">
        <v>20</v>
      </c>
      <c r="I265" s="3" t="s">
        <v>343</v>
      </c>
      <c r="J265" s="10" t="s">
        <v>336</v>
      </c>
      <c r="K265" t="str">
        <f t="shared" si="22"/>
        <v/>
      </c>
      <c r="L265" t="str">
        <f t="shared" si="23"/>
        <v/>
      </c>
      <c r="M265" t="str">
        <f t="shared" si="24"/>
        <v/>
      </c>
      <c r="N265" t="str">
        <f t="shared" si="27"/>
        <v/>
      </c>
      <c r="O265" t="str">
        <f t="shared" si="28"/>
        <v/>
      </c>
    </row>
    <row r="266" spans="1:15" x14ac:dyDescent="0.25">
      <c r="A266" s="3" t="s">
        <v>133</v>
      </c>
      <c r="B266" s="3" t="s">
        <v>280</v>
      </c>
      <c r="C266" s="3">
        <v>32.548009999999998</v>
      </c>
      <c r="D266" s="3">
        <v>-99.163780000000003</v>
      </c>
      <c r="E266" s="3" t="s">
        <v>325</v>
      </c>
      <c r="F266" s="3" t="s">
        <v>942</v>
      </c>
      <c r="G266" s="3">
        <v>1385</v>
      </c>
      <c r="H266" s="3" t="s">
        <v>20</v>
      </c>
      <c r="I266" s="3" t="s">
        <v>343</v>
      </c>
      <c r="J266" s="10" t="s">
        <v>336</v>
      </c>
      <c r="K266" t="str">
        <f t="shared" si="22"/>
        <v/>
      </c>
      <c r="L266" t="str">
        <f t="shared" si="23"/>
        <v/>
      </c>
      <c r="M266" t="str">
        <f t="shared" si="24"/>
        <v/>
      </c>
      <c r="N266" t="str">
        <f t="shared" si="27"/>
        <v/>
      </c>
      <c r="O266" t="str">
        <f t="shared" si="28"/>
        <v/>
      </c>
    </row>
    <row r="267" spans="1:15" x14ac:dyDescent="0.25">
      <c r="A267" s="3" t="s">
        <v>134</v>
      </c>
      <c r="B267" s="3" t="s">
        <v>281</v>
      </c>
      <c r="C267" s="3">
        <v>32.648809999999997</v>
      </c>
      <c r="D267" s="3">
        <v>-98.773920000000004</v>
      </c>
      <c r="E267" s="3" t="s">
        <v>325</v>
      </c>
      <c r="F267" s="3" t="s">
        <v>943</v>
      </c>
      <c r="G267" s="3">
        <v>1573</v>
      </c>
      <c r="H267" s="3" t="s">
        <v>20</v>
      </c>
      <c r="I267" s="3" t="s">
        <v>343</v>
      </c>
      <c r="J267" s="10" t="s">
        <v>336</v>
      </c>
      <c r="K267" t="str">
        <f t="shared" si="22"/>
        <v/>
      </c>
      <c r="L267" t="str">
        <f t="shared" si="23"/>
        <v/>
      </c>
      <c r="M267" t="str">
        <f t="shared" si="24"/>
        <v/>
      </c>
      <c r="N267" t="str">
        <f t="shared" si="27"/>
        <v/>
      </c>
      <c r="O267" t="str">
        <f t="shared" si="28"/>
        <v/>
      </c>
    </row>
    <row r="268" spans="1:15" x14ac:dyDescent="0.25">
      <c r="A268" s="3" t="s">
        <v>135</v>
      </c>
      <c r="B268" s="3" t="s">
        <v>282</v>
      </c>
      <c r="C268" s="3">
        <v>32.780056000000002</v>
      </c>
      <c r="D268" s="3">
        <v>-98.709294999999997</v>
      </c>
      <c r="E268" s="3" t="s">
        <v>325</v>
      </c>
      <c r="F268" s="3" t="s">
        <v>944</v>
      </c>
      <c r="G268" s="3">
        <v>171</v>
      </c>
      <c r="H268" s="3" t="s">
        <v>20</v>
      </c>
      <c r="I268" s="3" t="s">
        <v>343</v>
      </c>
      <c r="J268" s="10" t="s">
        <v>336</v>
      </c>
      <c r="K268" t="str">
        <f t="shared" si="22"/>
        <v/>
      </c>
      <c r="L268" t="str">
        <f t="shared" si="23"/>
        <v/>
      </c>
      <c r="M268" t="str">
        <f t="shared" si="24"/>
        <v/>
      </c>
      <c r="N268" t="str">
        <f t="shared" si="27"/>
        <v/>
      </c>
      <c r="O268" t="str">
        <f t="shared" si="28"/>
        <v/>
      </c>
    </row>
    <row r="269" spans="1:15" x14ac:dyDescent="0.25">
      <c r="A269" s="3" t="s">
        <v>136</v>
      </c>
      <c r="B269" s="3" t="s">
        <v>283</v>
      </c>
      <c r="C269" s="3">
        <v>32.420518000000001</v>
      </c>
      <c r="D269" s="3">
        <v>-98.751686000000007</v>
      </c>
      <c r="E269" s="3" t="s">
        <v>325</v>
      </c>
      <c r="F269" s="3" t="s">
        <v>945</v>
      </c>
      <c r="G269" s="3">
        <v>131</v>
      </c>
      <c r="H269" s="3" t="s">
        <v>20</v>
      </c>
      <c r="I269" s="3" t="s">
        <v>343</v>
      </c>
      <c r="J269" s="10" t="s">
        <v>336</v>
      </c>
      <c r="K269" t="str">
        <f t="shared" si="22"/>
        <v/>
      </c>
      <c r="L269" t="str">
        <f t="shared" si="23"/>
        <v/>
      </c>
      <c r="M269" t="str">
        <f t="shared" si="24"/>
        <v/>
      </c>
      <c r="N269" t="str">
        <f t="shared" si="27"/>
        <v/>
      </c>
      <c r="O269" t="str">
        <f t="shared" si="28"/>
        <v/>
      </c>
    </row>
    <row r="270" spans="1:15" x14ac:dyDescent="0.25">
      <c r="A270" s="3" t="s">
        <v>137</v>
      </c>
      <c r="B270" s="3" t="s">
        <v>284</v>
      </c>
      <c r="C270" s="3">
        <v>32.663240000000002</v>
      </c>
      <c r="D270" s="3">
        <v>-98.880250000000004</v>
      </c>
      <c r="E270" s="3" t="s">
        <v>325</v>
      </c>
      <c r="F270" s="3" t="s">
        <v>946</v>
      </c>
      <c r="G270" s="3">
        <v>569</v>
      </c>
      <c r="H270" s="3" t="s">
        <v>20</v>
      </c>
      <c r="I270" s="3" t="s">
        <v>343</v>
      </c>
      <c r="J270" s="10" t="s">
        <v>336</v>
      </c>
      <c r="K270" t="str">
        <f t="shared" si="22"/>
        <v/>
      </c>
      <c r="L270" t="str">
        <f t="shared" si="23"/>
        <v/>
      </c>
      <c r="M270" t="str">
        <f t="shared" si="24"/>
        <v/>
      </c>
      <c r="N270" t="str">
        <f t="shared" si="27"/>
        <v/>
      </c>
      <c r="O270" t="str">
        <f t="shared" si="28"/>
        <v/>
      </c>
    </row>
    <row r="271" spans="1:15" x14ac:dyDescent="0.25">
      <c r="A271" s="3" t="s">
        <v>138</v>
      </c>
      <c r="B271" s="3" t="s">
        <v>285</v>
      </c>
      <c r="C271" s="3">
        <v>32.469700000000003</v>
      </c>
      <c r="D271" s="3">
        <v>-98.679400000000001</v>
      </c>
      <c r="E271" s="3" t="s">
        <v>325</v>
      </c>
      <c r="F271" s="3" t="s">
        <v>947</v>
      </c>
      <c r="G271" s="3">
        <v>130</v>
      </c>
      <c r="H271" s="3" t="s">
        <v>20</v>
      </c>
      <c r="I271" s="3" t="s">
        <v>343</v>
      </c>
      <c r="J271" s="10" t="s">
        <v>336</v>
      </c>
      <c r="K271" t="str">
        <f t="shared" si="22"/>
        <v/>
      </c>
      <c r="L271" t="str">
        <f t="shared" si="23"/>
        <v/>
      </c>
      <c r="M271" t="str">
        <f t="shared" si="24"/>
        <v/>
      </c>
      <c r="N271" t="str">
        <f t="shared" si="27"/>
        <v/>
      </c>
      <c r="O271" t="str">
        <f t="shared" si="28"/>
        <v/>
      </c>
    </row>
    <row r="272" spans="1:15" x14ac:dyDescent="0.25">
      <c r="A272" s="3" t="s">
        <v>139</v>
      </c>
      <c r="B272" s="3" t="s">
        <v>286</v>
      </c>
      <c r="C272" s="3">
        <v>34.096319999999999</v>
      </c>
      <c r="D272" s="3">
        <v>-98.630840000000006</v>
      </c>
      <c r="E272" s="3" t="s">
        <v>325</v>
      </c>
      <c r="F272" s="3" t="s">
        <v>948</v>
      </c>
      <c r="G272" s="3">
        <v>355</v>
      </c>
      <c r="H272" s="3" t="s">
        <v>20</v>
      </c>
      <c r="I272" s="3" t="s">
        <v>343</v>
      </c>
      <c r="J272" s="10" t="s">
        <v>336</v>
      </c>
      <c r="K272" t="str">
        <f t="shared" si="22"/>
        <v/>
      </c>
      <c r="L272" t="str">
        <f t="shared" si="23"/>
        <v/>
      </c>
      <c r="M272" t="str">
        <f t="shared" si="24"/>
        <v/>
      </c>
      <c r="N272" t="str">
        <f t="shared" si="27"/>
        <v/>
      </c>
      <c r="O272" t="str">
        <f t="shared" si="28"/>
        <v/>
      </c>
    </row>
    <row r="273" spans="1:15" x14ac:dyDescent="0.25">
      <c r="A273" s="3" t="s">
        <v>140</v>
      </c>
      <c r="B273" s="3" t="s">
        <v>287</v>
      </c>
      <c r="C273" s="3">
        <v>32.507939999999998</v>
      </c>
      <c r="D273" s="3">
        <v>-98.415809999999993</v>
      </c>
      <c r="E273" s="3" t="s">
        <v>325</v>
      </c>
      <c r="F273" s="3" t="s">
        <v>949</v>
      </c>
      <c r="G273" s="3">
        <v>2765</v>
      </c>
      <c r="H273" s="3" t="s">
        <v>20</v>
      </c>
      <c r="I273" s="3" t="s">
        <v>343</v>
      </c>
      <c r="J273" s="10" t="s">
        <v>336</v>
      </c>
      <c r="K273" t="str">
        <f t="shared" si="22"/>
        <v/>
      </c>
      <c r="L273" t="str">
        <f t="shared" si="23"/>
        <v/>
      </c>
      <c r="M273" t="str">
        <f t="shared" si="24"/>
        <v/>
      </c>
      <c r="N273" t="str">
        <f t="shared" si="27"/>
        <v/>
      </c>
      <c r="O273" t="str">
        <f t="shared" si="28"/>
        <v/>
      </c>
    </row>
    <row r="274" spans="1:15" x14ac:dyDescent="0.25">
      <c r="A274" s="3" t="s">
        <v>141</v>
      </c>
      <c r="B274" s="3" t="s">
        <v>288</v>
      </c>
      <c r="C274" s="3">
        <v>33.484990000000003</v>
      </c>
      <c r="D274" s="3">
        <v>-98.666640000000001</v>
      </c>
      <c r="E274" s="3" t="s">
        <v>325</v>
      </c>
      <c r="F274" s="3" t="s">
        <v>950</v>
      </c>
      <c r="G274" s="3">
        <v>267</v>
      </c>
      <c r="H274" s="3" t="s">
        <v>20</v>
      </c>
      <c r="I274" s="3" t="s">
        <v>343</v>
      </c>
      <c r="J274" s="10" t="s">
        <v>336</v>
      </c>
      <c r="K274" t="str">
        <f t="shared" si="22"/>
        <v/>
      </c>
      <c r="L274" t="str">
        <f t="shared" si="23"/>
        <v/>
      </c>
      <c r="M274" t="str">
        <f t="shared" si="24"/>
        <v/>
      </c>
      <c r="N274" t="str">
        <f t="shared" si="27"/>
        <v/>
      </c>
      <c r="O274" t="str">
        <f t="shared" si="28"/>
        <v/>
      </c>
    </row>
    <row r="275" spans="1:15" x14ac:dyDescent="0.25">
      <c r="A275" s="3" t="s">
        <v>142</v>
      </c>
      <c r="B275" s="3" t="s">
        <v>289</v>
      </c>
      <c r="C275" s="3">
        <v>35.672379999999997</v>
      </c>
      <c r="D275" s="3">
        <v>-101.38969</v>
      </c>
      <c r="E275" s="3" t="s">
        <v>325</v>
      </c>
      <c r="F275" s="3" t="s">
        <v>951</v>
      </c>
      <c r="G275" s="3">
        <v>3397</v>
      </c>
      <c r="H275" s="3" t="s">
        <v>20</v>
      </c>
      <c r="I275" s="3" t="s">
        <v>343</v>
      </c>
      <c r="J275" s="10" t="s">
        <v>337</v>
      </c>
      <c r="K275" t="str">
        <f t="shared" si="22"/>
        <v/>
      </c>
      <c r="L275" t="str">
        <f t="shared" si="23"/>
        <v/>
      </c>
      <c r="M275" t="str">
        <f t="shared" si="24"/>
        <v/>
      </c>
      <c r="N275" t="str">
        <f t="shared" si="27"/>
        <v/>
      </c>
      <c r="O275" t="str">
        <f t="shared" si="28"/>
        <v/>
      </c>
    </row>
    <row r="276" spans="1:15" x14ac:dyDescent="0.25">
      <c r="A276" s="3" t="s">
        <v>143</v>
      </c>
      <c r="B276" s="3" t="s">
        <v>290</v>
      </c>
      <c r="C276" s="3">
        <v>32.358010999999998</v>
      </c>
      <c r="D276" s="3">
        <v>-102.77413900000001</v>
      </c>
      <c r="E276" s="3" t="s">
        <v>325</v>
      </c>
      <c r="F276" s="3" t="s">
        <v>952</v>
      </c>
      <c r="G276" s="3">
        <v>2238</v>
      </c>
      <c r="H276" s="3" t="s">
        <v>20</v>
      </c>
      <c r="I276" s="3" t="s">
        <v>343</v>
      </c>
      <c r="J276" s="10" t="s">
        <v>338</v>
      </c>
      <c r="K276" t="str">
        <f t="shared" si="22"/>
        <v/>
      </c>
      <c r="L276" t="str">
        <f t="shared" si="23"/>
        <v/>
      </c>
      <c r="M276" t="str">
        <f t="shared" si="24"/>
        <v/>
      </c>
      <c r="N276" t="str">
        <f t="shared" si="27"/>
        <v/>
      </c>
      <c r="O276" t="str">
        <f t="shared" si="28"/>
        <v/>
      </c>
    </row>
    <row r="277" spans="1:15" x14ac:dyDescent="0.25">
      <c r="A277" s="3" t="s">
        <v>144</v>
      </c>
      <c r="B277" s="3" t="s">
        <v>291</v>
      </c>
      <c r="C277" s="3">
        <v>31.1493</v>
      </c>
      <c r="D277" s="3">
        <v>-102.23484999999999</v>
      </c>
      <c r="E277" s="3" t="s">
        <v>325</v>
      </c>
      <c r="F277" s="3" t="s">
        <v>953</v>
      </c>
      <c r="G277" s="3">
        <v>1779</v>
      </c>
      <c r="H277" s="3" t="s">
        <v>20</v>
      </c>
      <c r="I277" s="3" t="s">
        <v>343</v>
      </c>
      <c r="J277" s="10" t="s">
        <v>338</v>
      </c>
      <c r="K277" t="str">
        <f t="shared" si="22"/>
        <v/>
      </c>
      <c r="L277" t="str">
        <f t="shared" si="23"/>
        <v/>
      </c>
      <c r="M277" t="str">
        <f t="shared" si="24"/>
        <v/>
      </c>
      <c r="N277" t="str">
        <f t="shared" si="27"/>
        <v/>
      </c>
      <c r="O277" t="str">
        <f t="shared" si="28"/>
        <v/>
      </c>
    </row>
    <row r="278" spans="1:15" x14ac:dyDescent="0.25">
      <c r="A278" s="3" t="s">
        <v>145</v>
      </c>
      <c r="B278" s="3" t="s">
        <v>292</v>
      </c>
      <c r="C278" s="3">
        <v>31.1447</v>
      </c>
      <c r="D278" s="3">
        <v>-102.19732</v>
      </c>
      <c r="E278" s="3" t="s">
        <v>325</v>
      </c>
      <c r="F278" s="3" t="s">
        <v>954</v>
      </c>
      <c r="G278" s="3">
        <v>714</v>
      </c>
      <c r="H278" s="3" t="s">
        <v>20</v>
      </c>
      <c r="I278" s="3" t="s">
        <v>343</v>
      </c>
      <c r="J278" s="10" t="s">
        <v>338</v>
      </c>
      <c r="K278" t="str">
        <f t="shared" si="22"/>
        <v/>
      </c>
      <c r="L278" t="str">
        <f t="shared" si="23"/>
        <v/>
      </c>
      <c r="M278" t="str">
        <f t="shared" si="24"/>
        <v/>
      </c>
      <c r="N278" t="str">
        <f t="shared" si="27"/>
        <v/>
      </c>
      <c r="O278" t="str">
        <f t="shared" si="28"/>
        <v/>
      </c>
    </row>
    <row r="279" spans="1:15" x14ac:dyDescent="0.25">
      <c r="A279" s="3" t="s">
        <v>146</v>
      </c>
      <c r="B279" s="3" t="s">
        <v>293</v>
      </c>
      <c r="C279" s="3">
        <v>31.215250000000001</v>
      </c>
      <c r="D279" s="3">
        <v>-101.92512000000001</v>
      </c>
      <c r="E279" s="3" t="s">
        <v>325</v>
      </c>
      <c r="F279" s="3" t="s">
        <v>955</v>
      </c>
      <c r="G279" s="3">
        <v>542</v>
      </c>
      <c r="H279" s="3" t="s">
        <v>20</v>
      </c>
      <c r="I279" s="3" t="s">
        <v>343</v>
      </c>
      <c r="J279" s="10" t="s">
        <v>338</v>
      </c>
      <c r="K279" t="str">
        <f t="shared" si="22"/>
        <v/>
      </c>
      <c r="L279" t="str">
        <f t="shared" si="23"/>
        <v/>
      </c>
      <c r="M279" t="str">
        <f t="shared" si="24"/>
        <v/>
      </c>
      <c r="N279" t="str">
        <f t="shared" si="27"/>
        <v/>
      </c>
      <c r="O279" t="str">
        <f t="shared" si="28"/>
        <v/>
      </c>
    </row>
    <row r="280" spans="1:15" x14ac:dyDescent="0.25">
      <c r="A280" s="3" t="s">
        <v>147</v>
      </c>
      <c r="B280" s="3" t="s">
        <v>294</v>
      </c>
      <c r="C280" s="3">
        <v>31.836220999999998</v>
      </c>
      <c r="D280" s="3">
        <v>-100.98764300000001</v>
      </c>
      <c r="E280" s="3" t="s">
        <v>325</v>
      </c>
      <c r="F280" s="3" t="s">
        <v>956</v>
      </c>
      <c r="G280" s="3">
        <v>406</v>
      </c>
      <c r="H280" s="3" t="s">
        <v>20</v>
      </c>
      <c r="I280" s="3" t="s">
        <v>343</v>
      </c>
      <c r="J280" s="10" t="s">
        <v>338</v>
      </c>
      <c r="K280" t="str">
        <f t="shared" si="22"/>
        <v/>
      </c>
      <c r="L280" t="str">
        <f t="shared" si="23"/>
        <v/>
      </c>
      <c r="M280" t="str">
        <f t="shared" si="24"/>
        <v/>
      </c>
      <c r="N280" t="str">
        <f t="shared" si="27"/>
        <v/>
      </c>
      <c r="O280" t="str">
        <f t="shared" si="28"/>
        <v/>
      </c>
    </row>
    <row r="281" spans="1:15" x14ac:dyDescent="0.25">
      <c r="A281" s="3" t="s">
        <v>148</v>
      </c>
      <c r="B281" s="3" t="s">
        <v>295</v>
      </c>
      <c r="C281" s="3">
        <v>31.980661000000001</v>
      </c>
      <c r="D281" s="3">
        <v>-102.616488</v>
      </c>
      <c r="E281" s="3" t="s">
        <v>325</v>
      </c>
      <c r="F281" s="3" t="s">
        <v>957</v>
      </c>
      <c r="G281" s="3">
        <v>1020</v>
      </c>
      <c r="H281" s="3" t="s">
        <v>20</v>
      </c>
      <c r="I281" s="3" t="s">
        <v>343</v>
      </c>
      <c r="J281" s="10" t="s">
        <v>338</v>
      </c>
      <c r="K281" t="str">
        <f t="shared" si="22"/>
        <v/>
      </c>
      <c r="L281" t="str">
        <f t="shared" si="23"/>
        <v/>
      </c>
      <c r="M281" t="str">
        <f t="shared" si="24"/>
        <v/>
      </c>
      <c r="N281" t="str">
        <f t="shared" si="27"/>
        <v/>
      </c>
      <c r="O281" t="str">
        <f t="shared" si="28"/>
        <v/>
      </c>
    </row>
    <row r="282" spans="1:15" x14ac:dyDescent="0.25">
      <c r="A282" s="3" t="s">
        <v>149</v>
      </c>
      <c r="B282" s="3" t="s">
        <v>296</v>
      </c>
      <c r="C282" s="3">
        <v>28.460896000000002</v>
      </c>
      <c r="D282" s="3">
        <v>-98.549691999999993</v>
      </c>
      <c r="E282" s="3" t="s">
        <v>325</v>
      </c>
      <c r="F282" s="3" t="s">
        <v>958</v>
      </c>
      <c r="G282" s="3">
        <v>1879</v>
      </c>
      <c r="H282" s="3" t="s">
        <v>20</v>
      </c>
      <c r="I282" s="3" t="s">
        <v>343</v>
      </c>
      <c r="J282" s="10" t="s">
        <v>340</v>
      </c>
      <c r="K282" t="str">
        <f t="shared" si="22"/>
        <v/>
      </c>
      <c r="L282" t="str">
        <f t="shared" si="23"/>
        <v/>
      </c>
      <c r="M282" t="str">
        <f t="shared" si="24"/>
        <v/>
      </c>
      <c r="N282" t="str">
        <f t="shared" si="27"/>
        <v/>
      </c>
      <c r="O282" t="str">
        <f t="shared" si="28"/>
        <v/>
      </c>
    </row>
    <row r="283" spans="1:15" x14ac:dyDescent="0.25">
      <c r="A283" s="3" t="s">
        <v>150</v>
      </c>
      <c r="B283" s="3" t="s">
        <v>297</v>
      </c>
      <c r="C283" s="3">
        <v>32.377290000000002</v>
      </c>
      <c r="D283" s="3">
        <v>-94.869309999999999</v>
      </c>
      <c r="E283" s="3" t="s">
        <v>325</v>
      </c>
      <c r="F283" s="3" t="s">
        <v>959</v>
      </c>
      <c r="G283" s="3">
        <v>1036</v>
      </c>
      <c r="H283" s="3" t="s">
        <v>12</v>
      </c>
      <c r="I283" s="3" t="s">
        <v>344</v>
      </c>
      <c r="J283" s="10" t="s">
        <v>334</v>
      </c>
      <c r="K283" t="str">
        <f t="shared" si="22"/>
        <v/>
      </c>
      <c r="L283" t="str">
        <f t="shared" si="23"/>
        <v/>
      </c>
      <c r="M283" t="str">
        <f t="shared" si="24"/>
        <v/>
      </c>
      <c r="N283" t="str">
        <f t="shared" si="27"/>
        <v/>
      </c>
      <c r="O283" t="str">
        <f t="shared" si="28"/>
        <v/>
      </c>
    </row>
    <row r="284" spans="1:15" x14ac:dyDescent="0.25">
      <c r="A284" s="3" t="s">
        <v>151</v>
      </c>
      <c r="B284" s="3" t="s">
        <v>298</v>
      </c>
      <c r="C284" s="3">
        <v>32.390839999999997</v>
      </c>
      <c r="D284" s="3">
        <v>-94.865219999999994</v>
      </c>
      <c r="E284" s="3" t="s">
        <v>325</v>
      </c>
      <c r="F284" s="3" t="s">
        <v>960</v>
      </c>
      <c r="G284" s="3">
        <v>748</v>
      </c>
      <c r="H284" s="3" t="s">
        <v>12</v>
      </c>
      <c r="I284" s="3" t="s">
        <v>344</v>
      </c>
      <c r="J284" s="10" t="s">
        <v>334</v>
      </c>
      <c r="K284" t="str">
        <f t="shared" si="22"/>
        <v/>
      </c>
      <c r="L284" t="str">
        <f t="shared" si="23"/>
        <v/>
      </c>
      <c r="M284" t="str">
        <f t="shared" si="24"/>
        <v/>
      </c>
      <c r="N284" t="str">
        <f t="shared" si="27"/>
        <v/>
      </c>
      <c r="O284" t="str">
        <f t="shared" si="28"/>
        <v/>
      </c>
    </row>
    <row r="285" spans="1:15" x14ac:dyDescent="0.25">
      <c r="A285" s="3" t="s">
        <v>152</v>
      </c>
      <c r="B285" s="3" t="s">
        <v>299</v>
      </c>
      <c r="C285" s="3">
        <v>32.387355999999997</v>
      </c>
      <c r="D285" s="3">
        <v>-94.875470000000007</v>
      </c>
      <c r="E285" s="3" t="s">
        <v>329</v>
      </c>
      <c r="F285" s="3" t="s">
        <v>961</v>
      </c>
      <c r="G285" s="3">
        <v>847</v>
      </c>
      <c r="H285" s="3" t="s">
        <v>12</v>
      </c>
      <c r="I285" s="3" t="s">
        <v>344</v>
      </c>
      <c r="J285" s="10" t="s">
        <v>334</v>
      </c>
      <c r="K285" t="str">
        <f t="shared" si="22"/>
        <v/>
      </c>
      <c r="L285" t="str">
        <f t="shared" si="23"/>
        <v/>
      </c>
      <c r="M285" t="str">
        <f t="shared" si="24"/>
        <v/>
      </c>
      <c r="N285" t="str">
        <f t="shared" si="27"/>
        <v/>
      </c>
      <c r="O285" t="str">
        <f t="shared" si="28"/>
        <v/>
      </c>
    </row>
    <row r="286" spans="1:15" x14ac:dyDescent="0.25">
      <c r="A286" s="3" t="s">
        <v>153</v>
      </c>
      <c r="B286" s="3" t="s">
        <v>300</v>
      </c>
      <c r="C286" s="3">
        <v>32.089530000000003</v>
      </c>
      <c r="D286" s="3">
        <v>-96.464110000000005</v>
      </c>
      <c r="E286" s="3" t="s">
        <v>325</v>
      </c>
      <c r="F286" s="3" t="s">
        <v>962</v>
      </c>
      <c r="G286" s="3">
        <v>913</v>
      </c>
      <c r="H286" s="3" t="s">
        <v>12</v>
      </c>
      <c r="I286" s="3" t="s">
        <v>344</v>
      </c>
      <c r="J286" s="10" t="s">
        <v>334</v>
      </c>
      <c r="K286" t="str">
        <f t="shared" si="22"/>
        <v/>
      </c>
      <c r="L286" t="str">
        <f t="shared" si="23"/>
        <v/>
      </c>
      <c r="M286" t="str">
        <f t="shared" si="24"/>
        <v/>
      </c>
      <c r="N286" t="str">
        <f t="shared" si="27"/>
        <v/>
      </c>
      <c r="O286" t="str">
        <f t="shared" si="28"/>
        <v/>
      </c>
    </row>
    <row r="287" spans="1:15" x14ac:dyDescent="0.25">
      <c r="A287" s="3" t="s">
        <v>154</v>
      </c>
      <c r="B287" s="3" t="s">
        <v>301</v>
      </c>
      <c r="C287" s="3">
        <v>32.386859999999999</v>
      </c>
      <c r="D287" s="3">
        <v>-94.876170000000002</v>
      </c>
      <c r="E287" s="3" t="s">
        <v>325</v>
      </c>
      <c r="F287" s="3" t="s">
        <v>963</v>
      </c>
      <c r="G287" s="3">
        <v>748</v>
      </c>
      <c r="H287" s="3" t="s">
        <v>12</v>
      </c>
      <c r="I287" s="3" t="s">
        <v>344</v>
      </c>
      <c r="J287" s="10" t="s">
        <v>334</v>
      </c>
      <c r="K287" t="str">
        <f t="shared" si="22"/>
        <v/>
      </c>
      <c r="L287" t="str">
        <f t="shared" si="23"/>
        <v/>
      </c>
      <c r="M287" t="str">
        <f t="shared" si="24"/>
        <v/>
      </c>
      <c r="N287" t="str">
        <f t="shared" si="27"/>
        <v/>
      </c>
      <c r="O287" t="str">
        <f t="shared" si="28"/>
        <v/>
      </c>
    </row>
    <row r="288" spans="1:15" x14ac:dyDescent="0.25">
      <c r="A288" s="3" t="s">
        <v>155</v>
      </c>
      <c r="B288" s="3" t="s">
        <v>302</v>
      </c>
      <c r="C288" s="3">
        <v>32.43723</v>
      </c>
      <c r="D288" s="3">
        <v>-95.097930000000005</v>
      </c>
      <c r="E288" s="3" t="s">
        <v>325</v>
      </c>
      <c r="F288" s="3" t="s">
        <v>964</v>
      </c>
      <c r="G288" s="3">
        <v>2407</v>
      </c>
      <c r="H288" s="3" t="s">
        <v>12</v>
      </c>
      <c r="I288" s="3" t="s">
        <v>344</v>
      </c>
      <c r="J288" s="10" t="s">
        <v>334</v>
      </c>
      <c r="K288" t="str">
        <f t="shared" si="22"/>
        <v/>
      </c>
      <c r="L288" t="str">
        <f t="shared" si="23"/>
        <v/>
      </c>
      <c r="M288" t="str">
        <f t="shared" si="24"/>
        <v/>
      </c>
      <c r="N288" t="str">
        <f t="shared" si="27"/>
        <v/>
      </c>
      <c r="O288" t="str">
        <f t="shared" si="28"/>
        <v/>
      </c>
    </row>
    <row r="289" spans="1:15" x14ac:dyDescent="0.25">
      <c r="A289" s="3" t="s">
        <v>156</v>
      </c>
      <c r="B289" s="3" t="s">
        <v>303</v>
      </c>
      <c r="C289" s="3">
        <v>32.178449999999998</v>
      </c>
      <c r="D289" s="3">
        <v>-94.922529999999995</v>
      </c>
      <c r="E289" s="3" t="s">
        <v>325</v>
      </c>
      <c r="F289" s="3" t="s">
        <v>965</v>
      </c>
      <c r="G289" s="3">
        <v>1494</v>
      </c>
      <c r="H289" s="3" t="s">
        <v>12</v>
      </c>
      <c r="I289" s="3" t="s">
        <v>344</v>
      </c>
      <c r="J289" s="10" t="s">
        <v>334</v>
      </c>
      <c r="K289" t="str">
        <f t="shared" si="22"/>
        <v/>
      </c>
      <c r="L289" t="str">
        <f t="shared" si="23"/>
        <v/>
      </c>
      <c r="M289" t="str">
        <f t="shared" si="24"/>
        <v/>
      </c>
      <c r="N289" t="str">
        <f t="shared" si="27"/>
        <v/>
      </c>
      <c r="O289" t="str">
        <f t="shared" si="28"/>
        <v/>
      </c>
    </row>
    <row r="290" spans="1:15" x14ac:dyDescent="0.25">
      <c r="A290" s="3" t="s">
        <v>157</v>
      </c>
      <c r="B290" s="3" t="s">
        <v>304</v>
      </c>
      <c r="C290" s="3">
        <v>29.406020000000002</v>
      </c>
      <c r="D290" s="3">
        <v>-96.241110000000006</v>
      </c>
      <c r="E290" s="3" t="s">
        <v>325</v>
      </c>
      <c r="F290" s="3" t="s">
        <v>966</v>
      </c>
      <c r="G290" s="3">
        <v>3251</v>
      </c>
      <c r="H290" s="3" t="s">
        <v>12</v>
      </c>
      <c r="I290" s="3" t="s">
        <v>344</v>
      </c>
      <c r="J290" s="10" t="s">
        <v>335</v>
      </c>
      <c r="K290" t="str">
        <f t="shared" si="22"/>
        <v/>
      </c>
      <c r="L290" t="str">
        <f t="shared" si="23"/>
        <v/>
      </c>
      <c r="M290" t="str">
        <f t="shared" si="24"/>
        <v/>
      </c>
      <c r="N290" t="str">
        <f t="shared" si="27"/>
        <v/>
      </c>
      <c r="O290" t="str">
        <f t="shared" si="28"/>
        <v/>
      </c>
    </row>
    <row r="291" spans="1:15" x14ac:dyDescent="0.25">
      <c r="A291" s="3" t="s">
        <v>158</v>
      </c>
      <c r="B291" s="3" t="s">
        <v>305</v>
      </c>
      <c r="C291" s="3">
        <v>29.365183999999999</v>
      </c>
      <c r="D291" s="3">
        <v>-94.814775999999995</v>
      </c>
      <c r="E291" s="3" t="s">
        <v>325</v>
      </c>
      <c r="F291" s="3" t="s">
        <v>967</v>
      </c>
      <c r="G291" s="3">
        <v>3152</v>
      </c>
      <c r="H291" s="3" t="s">
        <v>12</v>
      </c>
      <c r="I291" s="3" t="s">
        <v>344</v>
      </c>
      <c r="J291" s="10" t="s">
        <v>335</v>
      </c>
      <c r="K291" t="str">
        <f t="shared" si="22"/>
        <v/>
      </c>
      <c r="L291" t="str">
        <f t="shared" si="23"/>
        <v/>
      </c>
      <c r="M291" t="str">
        <f t="shared" si="24"/>
        <v/>
      </c>
      <c r="N291" t="str">
        <f t="shared" si="27"/>
        <v/>
      </c>
      <c r="O291" t="str">
        <f t="shared" si="28"/>
        <v/>
      </c>
    </row>
    <row r="292" spans="1:15" x14ac:dyDescent="0.25">
      <c r="A292" s="3" t="s">
        <v>159</v>
      </c>
      <c r="B292" s="3" t="s">
        <v>306</v>
      </c>
      <c r="C292" s="3">
        <v>29.71283</v>
      </c>
      <c r="D292" s="3">
        <v>-94.994420000000005</v>
      </c>
      <c r="E292" s="3" t="s">
        <v>325</v>
      </c>
      <c r="F292" s="3" t="s">
        <v>968</v>
      </c>
      <c r="G292" s="3">
        <v>1195</v>
      </c>
      <c r="H292" s="3" t="s">
        <v>12</v>
      </c>
      <c r="I292" s="3" t="s">
        <v>344</v>
      </c>
      <c r="J292" s="10" t="s">
        <v>335</v>
      </c>
      <c r="K292" t="str">
        <f t="shared" si="22"/>
        <v/>
      </c>
      <c r="L292" t="str">
        <f t="shared" si="23"/>
        <v/>
      </c>
      <c r="M292" t="str">
        <f t="shared" si="24"/>
        <v/>
      </c>
      <c r="N292" t="str">
        <f t="shared" si="27"/>
        <v/>
      </c>
      <c r="O292" t="str">
        <f t="shared" si="28"/>
        <v/>
      </c>
    </row>
    <row r="293" spans="1:15" x14ac:dyDescent="0.25">
      <c r="A293" s="3" t="s">
        <v>160</v>
      </c>
      <c r="B293" s="3" t="s">
        <v>307</v>
      </c>
      <c r="C293" s="3">
        <v>29.99954</v>
      </c>
      <c r="D293" s="3">
        <v>-95.268150000000006</v>
      </c>
      <c r="E293" s="3" t="s">
        <v>325</v>
      </c>
      <c r="F293" s="3" t="s">
        <v>969</v>
      </c>
      <c r="G293" s="3">
        <v>986</v>
      </c>
      <c r="H293" s="3" t="s">
        <v>12</v>
      </c>
      <c r="I293" s="3" t="s">
        <v>344</v>
      </c>
      <c r="J293" s="10" t="s">
        <v>335</v>
      </c>
      <c r="K293" t="str">
        <f t="shared" si="22"/>
        <v/>
      </c>
      <c r="L293" t="str">
        <f t="shared" si="23"/>
        <v/>
      </c>
      <c r="M293" t="str">
        <f t="shared" si="24"/>
        <v/>
      </c>
      <c r="N293" t="str">
        <f t="shared" si="27"/>
        <v/>
      </c>
      <c r="O293" t="str">
        <f t="shared" si="28"/>
        <v/>
      </c>
    </row>
    <row r="294" spans="1:15" x14ac:dyDescent="0.25">
      <c r="A294" s="3" t="s">
        <v>161</v>
      </c>
      <c r="B294" s="3" t="s">
        <v>308</v>
      </c>
      <c r="C294" s="3">
        <v>30.09685</v>
      </c>
      <c r="D294" s="3">
        <v>-95.614369999999994</v>
      </c>
      <c r="E294" s="3" t="s">
        <v>325</v>
      </c>
      <c r="F294" s="3" t="s">
        <v>970</v>
      </c>
      <c r="G294" s="3">
        <v>2688</v>
      </c>
      <c r="H294" s="3" t="s">
        <v>12</v>
      </c>
      <c r="I294" s="3" t="s">
        <v>344</v>
      </c>
      <c r="J294" s="10" t="s">
        <v>335</v>
      </c>
      <c r="K294" t="str">
        <f t="shared" si="22"/>
        <v/>
      </c>
      <c r="L294" t="str">
        <f t="shared" si="23"/>
        <v/>
      </c>
      <c r="M294" t="str">
        <f t="shared" si="24"/>
        <v/>
      </c>
      <c r="N294" t="str">
        <f t="shared" si="27"/>
        <v/>
      </c>
      <c r="O294" t="str">
        <f t="shared" si="28"/>
        <v/>
      </c>
    </row>
    <row r="295" spans="1:15" x14ac:dyDescent="0.25">
      <c r="A295" s="3" t="s">
        <v>162</v>
      </c>
      <c r="B295" s="3" t="s">
        <v>309</v>
      </c>
      <c r="C295" s="3">
        <v>32.401147000000002</v>
      </c>
      <c r="D295" s="3">
        <v>-98.818100000000001</v>
      </c>
      <c r="E295" s="3" t="s">
        <v>332</v>
      </c>
      <c r="F295" s="3" t="s">
        <v>971</v>
      </c>
      <c r="G295" s="3">
        <v>748</v>
      </c>
      <c r="H295" s="3" t="s">
        <v>12</v>
      </c>
      <c r="I295" s="3" t="s">
        <v>344</v>
      </c>
      <c r="J295" s="10" t="s">
        <v>336</v>
      </c>
      <c r="K295" t="str">
        <f t="shared" ref="K295:K318" si="29">IF(COUNTIF($F$21:$F$135,A295)&gt;0,"Y","")</f>
        <v/>
      </c>
      <c r="L295" t="str">
        <f t="shared" ref="L295:L310" si="30">IF(K295="Y",H295,"")</f>
        <v/>
      </c>
      <c r="M295" t="str">
        <f t="shared" ref="M295:M310" si="31">IF(K295="Y",J295,"")</f>
        <v/>
      </c>
      <c r="N295" t="str">
        <f t="shared" si="27"/>
        <v/>
      </c>
      <c r="O295" t="str">
        <f t="shared" si="28"/>
        <v/>
      </c>
    </row>
    <row r="296" spans="1:15" x14ac:dyDescent="0.25">
      <c r="A296" s="3" t="s">
        <v>163</v>
      </c>
      <c r="B296" s="3" t="s">
        <v>310</v>
      </c>
      <c r="C296" s="3">
        <v>34.025635999999999</v>
      </c>
      <c r="D296" s="3">
        <v>-98.909918000000005</v>
      </c>
      <c r="E296" s="3" t="s">
        <v>325</v>
      </c>
      <c r="F296" s="3" t="s">
        <v>972</v>
      </c>
      <c r="G296" s="3">
        <v>1890</v>
      </c>
      <c r="H296" s="3" t="s">
        <v>12</v>
      </c>
      <c r="I296" s="3" t="s">
        <v>344</v>
      </c>
      <c r="J296" s="10" t="s">
        <v>336</v>
      </c>
      <c r="K296" t="str">
        <f t="shared" si="29"/>
        <v/>
      </c>
      <c r="L296" t="str">
        <f t="shared" si="30"/>
        <v/>
      </c>
      <c r="M296" t="str">
        <f t="shared" si="31"/>
        <v/>
      </c>
      <c r="N296" t="str">
        <f t="shared" ref="N296:N304" si="32">IF(K294="Y",G294,"")</f>
        <v/>
      </c>
      <c r="O296" t="str">
        <f t="shared" ref="O296:O304" si="33">IF(K294="Y",I294,"")</f>
        <v/>
      </c>
    </row>
    <row r="297" spans="1:15" x14ac:dyDescent="0.25">
      <c r="A297" s="3" t="s">
        <v>164</v>
      </c>
      <c r="B297" s="3" t="s">
        <v>311</v>
      </c>
      <c r="C297" s="3">
        <v>34.102179999999997</v>
      </c>
      <c r="D297" s="3">
        <v>-98.544600000000003</v>
      </c>
      <c r="E297" s="3" t="s">
        <v>325</v>
      </c>
      <c r="F297" s="3" t="s">
        <v>973</v>
      </c>
      <c r="G297" s="3">
        <v>1195</v>
      </c>
      <c r="H297" s="3" t="s">
        <v>12</v>
      </c>
      <c r="I297" s="3" t="s">
        <v>344</v>
      </c>
      <c r="J297" s="10" t="s">
        <v>336</v>
      </c>
      <c r="K297" t="str">
        <f t="shared" si="29"/>
        <v/>
      </c>
      <c r="L297" t="str">
        <f t="shared" si="30"/>
        <v/>
      </c>
      <c r="M297" t="str">
        <f t="shared" si="31"/>
        <v/>
      </c>
      <c r="N297" t="str">
        <f t="shared" si="32"/>
        <v/>
      </c>
      <c r="O297" t="str">
        <f t="shared" si="33"/>
        <v/>
      </c>
    </row>
    <row r="298" spans="1:15" x14ac:dyDescent="0.25">
      <c r="A298" s="3" t="s">
        <v>165</v>
      </c>
      <c r="B298" s="3" t="s">
        <v>312</v>
      </c>
      <c r="C298" s="3">
        <v>32.766350000000003</v>
      </c>
      <c r="D298" s="3">
        <v>-98.29862</v>
      </c>
      <c r="E298" s="3" t="s">
        <v>325</v>
      </c>
      <c r="F298" s="3" t="s">
        <v>974</v>
      </c>
      <c r="G298" s="3">
        <v>1594</v>
      </c>
      <c r="H298" s="3" t="s">
        <v>12</v>
      </c>
      <c r="I298" s="3" t="s">
        <v>344</v>
      </c>
      <c r="J298" s="10" t="s">
        <v>336</v>
      </c>
      <c r="K298" t="str">
        <f t="shared" si="29"/>
        <v/>
      </c>
      <c r="L298" t="str">
        <f t="shared" si="30"/>
        <v/>
      </c>
      <c r="M298" t="str">
        <f t="shared" si="31"/>
        <v/>
      </c>
      <c r="N298" t="str">
        <f t="shared" si="32"/>
        <v/>
      </c>
      <c r="O298" t="str">
        <f t="shared" si="33"/>
        <v/>
      </c>
    </row>
    <row r="299" spans="1:15" x14ac:dyDescent="0.25">
      <c r="A299" s="3" t="s">
        <v>166</v>
      </c>
      <c r="B299" s="3" t="s">
        <v>313</v>
      </c>
      <c r="C299" s="3">
        <v>33.91377</v>
      </c>
      <c r="D299" s="3">
        <v>-98.491519999999994</v>
      </c>
      <c r="E299" s="3" t="s">
        <v>325</v>
      </c>
      <c r="F299" s="3" t="s">
        <v>975</v>
      </c>
      <c r="G299" s="3">
        <v>1191</v>
      </c>
      <c r="H299" s="3" t="s">
        <v>12</v>
      </c>
      <c r="I299" s="3" t="s">
        <v>344</v>
      </c>
      <c r="J299" s="10" t="s">
        <v>336</v>
      </c>
      <c r="K299" t="str">
        <f t="shared" si="29"/>
        <v/>
      </c>
      <c r="L299" t="str">
        <f t="shared" si="30"/>
        <v/>
      </c>
      <c r="M299" t="str">
        <f t="shared" si="31"/>
        <v/>
      </c>
      <c r="N299" t="str">
        <f t="shared" si="32"/>
        <v/>
      </c>
      <c r="O299" t="str">
        <f t="shared" si="33"/>
        <v/>
      </c>
    </row>
    <row r="300" spans="1:15" x14ac:dyDescent="0.25">
      <c r="A300" s="3" t="s">
        <v>167</v>
      </c>
      <c r="B300" s="3" t="s">
        <v>314</v>
      </c>
      <c r="C300" s="3">
        <v>31.740690000000001</v>
      </c>
      <c r="D300" s="3">
        <v>-98.948252999999994</v>
      </c>
      <c r="E300" s="3" t="s">
        <v>325</v>
      </c>
      <c r="F300" s="3" t="s">
        <v>976</v>
      </c>
      <c r="G300" s="3">
        <v>1257</v>
      </c>
      <c r="H300" s="3" t="s">
        <v>12</v>
      </c>
      <c r="I300" s="3" t="s">
        <v>344</v>
      </c>
      <c r="J300" s="10" t="s">
        <v>336</v>
      </c>
      <c r="K300" t="str">
        <f t="shared" si="29"/>
        <v/>
      </c>
      <c r="L300" t="str">
        <f t="shared" si="30"/>
        <v/>
      </c>
      <c r="M300" t="str">
        <f t="shared" si="31"/>
        <v/>
      </c>
      <c r="N300" t="str">
        <f t="shared" si="32"/>
        <v/>
      </c>
      <c r="O300" t="str">
        <f t="shared" si="33"/>
        <v/>
      </c>
    </row>
    <row r="301" spans="1:15" x14ac:dyDescent="0.25">
      <c r="A301" s="3" t="s">
        <v>168</v>
      </c>
      <c r="B301" s="3" t="s">
        <v>315</v>
      </c>
      <c r="C301" s="3">
        <v>33.648780000000002</v>
      </c>
      <c r="D301" s="3">
        <v>-97.307289999999995</v>
      </c>
      <c r="E301" s="3" t="s">
        <v>325</v>
      </c>
      <c r="F301" s="3" t="s">
        <v>977</v>
      </c>
      <c r="G301" s="3">
        <v>830</v>
      </c>
      <c r="H301" s="3" t="s">
        <v>12</v>
      </c>
      <c r="I301" s="3" t="s">
        <v>344</v>
      </c>
      <c r="J301" s="10" t="s">
        <v>336</v>
      </c>
      <c r="K301" t="str">
        <f t="shared" si="29"/>
        <v/>
      </c>
      <c r="L301" t="str">
        <f t="shared" si="30"/>
        <v/>
      </c>
      <c r="M301" t="str">
        <f t="shared" si="31"/>
        <v/>
      </c>
      <c r="N301" t="str">
        <f t="shared" si="32"/>
        <v/>
      </c>
      <c r="O301" t="str">
        <f t="shared" si="33"/>
        <v/>
      </c>
    </row>
    <row r="302" spans="1:15" x14ac:dyDescent="0.25">
      <c r="A302" s="3" t="s">
        <v>169</v>
      </c>
      <c r="B302" s="3" t="s">
        <v>316</v>
      </c>
      <c r="C302" s="3">
        <v>33.371175999999998</v>
      </c>
      <c r="D302" s="3">
        <v>-98.754367999999999</v>
      </c>
      <c r="E302" s="3" t="s">
        <v>325</v>
      </c>
      <c r="F302" s="3" t="s">
        <v>978</v>
      </c>
      <c r="G302" s="3">
        <v>1792</v>
      </c>
      <c r="H302" s="3" t="s">
        <v>12</v>
      </c>
      <c r="I302" s="3" t="s">
        <v>344</v>
      </c>
      <c r="J302" s="10" t="s">
        <v>336</v>
      </c>
      <c r="K302" t="str">
        <f t="shared" si="29"/>
        <v/>
      </c>
      <c r="L302" t="str">
        <f t="shared" si="30"/>
        <v/>
      </c>
      <c r="M302" t="str">
        <f t="shared" si="31"/>
        <v/>
      </c>
      <c r="N302" t="str">
        <f t="shared" si="32"/>
        <v/>
      </c>
      <c r="O302" t="str">
        <f t="shared" si="33"/>
        <v/>
      </c>
    </row>
    <row r="303" spans="1:15" x14ac:dyDescent="0.25">
      <c r="A303" s="3" t="s">
        <v>170</v>
      </c>
      <c r="B303" s="3" t="s">
        <v>317</v>
      </c>
      <c r="C303" s="3">
        <v>32.470120000000001</v>
      </c>
      <c r="D303" s="3">
        <v>-98.679190000000006</v>
      </c>
      <c r="E303" s="3" t="s">
        <v>325</v>
      </c>
      <c r="F303" s="3" t="s">
        <v>979</v>
      </c>
      <c r="G303" s="3">
        <v>748</v>
      </c>
      <c r="H303" s="3" t="s">
        <v>12</v>
      </c>
      <c r="I303" s="3" t="s">
        <v>344</v>
      </c>
      <c r="J303" s="10" t="s">
        <v>336</v>
      </c>
      <c r="K303" t="str">
        <f t="shared" si="29"/>
        <v/>
      </c>
      <c r="L303" t="str">
        <f t="shared" si="30"/>
        <v/>
      </c>
      <c r="M303" t="str">
        <f t="shared" si="31"/>
        <v/>
      </c>
      <c r="N303" t="str">
        <f t="shared" si="32"/>
        <v/>
      </c>
      <c r="O303" t="str">
        <f t="shared" si="33"/>
        <v/>
      </c>
    </row>
    <row r="304" spans="1:15" x14ac:dyDescent="0.25">
      <c r="A304" s="3" t="s">
        <v>171</v>
      </c>
      <c r="B304" s="3" t="s">
        <v>318</v>
      </c>
      <c r="C304" s="3">
        <v>34.011989999999997</v>
      </c>
      <c r="D304" s="3">
        <v>-100.82814</v>
      </c>
      <c r="E304" s="3" t="s">
        <v>325</v>
      </c>
      <c r="F304" s="3" t="s">
        <v>980</v>
      </c>
      <c r="G304" s="3">
        <v>1494</v>
      </c>
      <c r="H304" s="3" t="s">
        <v>12</v>
      </c>
      <c r="I304" s="3" t="s">
        <v>344</v>
      </c>
      <c r="J304" s="10" t="s">
        <v>337</v>
      </c>
      <c r="K304" t="str">
        <f t="shared" si="29"/>
        <v/>
      </c>
      <c r="L304" t="str">
        <f t="shared" si="30"/>
        <v/>
      </c>
      <c r="M304" t="str">
        <f t="shared" si="31"/>
        <v/>
      </c>
      <c r="N304" t="str">
        <f t="shared" si="32"/>
        <v/>
      </c>
      <c r="O304" t="str">
        <f t="shared" si="33"/>
        <v/>
      </c>
    </row>
    <row r="305" spans="1:27" x14ac:dyDescent="0.25">
      <c r="A305" s="3" t="s">
        <v>172</v>
      </c>
      <c r="B305" s="3" t="s">
        <v>319</v>
      </c>
      <c r="C305" s="3">
        <v>30.917137</v>
      </c>
      <c r="D305" s="3">
        <v>-101.908407</v>
      </c>
      <c r="E305" s="3" t="s">
        <v>325</v>
      </c>
      <c r="F305" s="3" t="s">
        <v>981</v>
      </c>
      <c r="G305" s="3">
        <v>1991</v>
      </c>
      <c r="H305" s="3" t="s">
        <v>12</v>
      </c>
      <c r="I305" s="3" t="s">
        <v>344</v>
      </c>
      <c r="J305" s="10" t="s">
        <v>338</v>
      </c>
      <c r="K305" t="str">
        <f t="shared" si="29"/>
        <v/>
      </c>
      <c r="L305" t="str">
        <f t="shared" si="30"/>
        <v/>
      </c>
      <c r="M305">
        <v>30</v>
      </c>
      <c r="N305">
        <f>(2*F5)*(4^K5)</f>
        <v>1560</v>
      </c>
      <c r="O305" t="s">
        <v>178</v>
      </c>
    </row>
    <row r="306" spans="1:27" x14ac:dyDescent="0.25">
      <c r="A306" s="3" t="s">
        <v>173</v>
      </c>
      <c r="B306" s="3" t="s">
        <v>320</v>
      </c>
      <c r="C306" s="3">
        <v>32.015825</v>
      </c>
      <c r="D306" s="3">
        <v>-102.00130299999999</v>
      </c>
      <c r="E306" s="3" t="s">
        <v>325</v>
      </c>
      <c r="F306" s="3" t="s">
        <v>982</v>
      </c>
      <c r="G306" s="3">
        <v>1162</v>
      </c>
      <c r="H306" s="3" t="s">
        <v>12</v>
      </c>
      <c r="I306" s="3" t="s">
        <v>344</v>
      </c>
      <c r="J306" s="10" t="s">
        <v>338</v>
      </c>
      <c r="K306" t="str">
        <f t="shared" si="29"/>
        <v/>
      </c>
      <c r="L306" t="str">
        <f t="shared" si="30"/>
        <v/>
      </c>
      <c r="M306">
        <v>58</v>
      </c>
      <c r="N306">
        <f>(2*F5)*(2^K5)</f>
        <v>1560</v>
      </c>
      <c r="O306" t="s">
        <v>179</v>
      </c>
    </row>
    <row r="307" spans="1:27" x14ac:dyDescent="0.25">
      <c r="A307" s="3" t="s">
        <v>174</v>
      </c>
      <c r="B307" s="3" t="s">
        <v>321</v>
      </c>
      <c r="C307" s="3">
        <v>30.139620000000001</v>
      </c>
      <c r="D307" s="3">
        <v>-94.413619999999995</v>
      </c>
      <c r="E307" s="3" t="s">
        <v>325</v>
      </c>
      <c r="F307" s="3" t="s">
        <v>983</v>
      </c>
      <c r="G307" s="3">
        <v>1494</v>
      </c>
      <c r="H307" s="3" t="s">
        <v>12</v>
      </c>
      <c r="I307" s="3" t="s">
        <v>344</v>
      </c>
      <c r="J307" s="10" t="s">
        <v>339</v>
      </c>
      <c r="K307" t="str">
        <f t="shared" si="29"/>
        <v/>
      </c>
      <c r="L307" t="str">
        <f t="shared" si="30"/>
        <v/>
      </c>
      <c r="M307" t="str">
        <f t="shared" si="31"/>
        <v/>
      </c>
      <c r="N307" t="str">
        <f t="shared" ref="N307:N320" si="34">IF(K305="Y",G305,"")</f>
        <v/>
      </c>
      <c r="O307" t="str">
        <f t="shared" ref="O307:O312" si="35">IF(K305="Y",I305,"")</f>
        <v/>
      </c>
    </row>
    <row r="308" spans="1:27" x14ac:dyDescent="0.25">
      <c r="A308" s="3" t="s">
        <v>175</v>
      </c>
      <c r="B308" s="3" t="s">
        <v>322</v>
      </c>
      <c r="C308" s="3">
        <v>27.848088000000001</v>
      </c>
      <c r="D308" s="3">
        <v>-97.226922000000002</v>
      </c>
      <c r="E308" s="3" t="s">
        <v>325</v>
      </c>
      <c r="F308" s="3" t="s">
        <v>984</v>
      </c>
      <c r="G308" s="3">
        <v>3019</v>
      </c>
      <c r="H308" s="3" t="s">
        <v>12</v>
      </c>
      <c r="I308" s="3" t="s">
        <v>344</v>
      </c>
      <c r="J308" s="10" t="s">
        <v>340</v>
      </c>
      <c r="K308" t="str">
        <f t="shared" si="29"/>
        <v/>
      </c>
      <c r="L308" t="str">
        <f t="shared" si="30"/>
        <v/>
      </c>
      <c r="M308" t="str">
        <f t="shared" si="31"/>
        <v/>
      </c>
      <c r="N308" t="str">
        <f t="shared" si="34"/>
        <v/>
      </c>
      <c r="O308" t="str">
        <f t="shared" si="35"/>
        <v/>
      </c>
    </row>
    <row r="309" spans="1:27" x14ac:dyDescent="0.25">
      <c r="A309" s="3" t="s">
        <v>176</v>
      </c>
      <c r="B309" s="3" t="s">
        <v>323</v>
      </c>
      <c r="C309" s="3">
        <v>29.683450000000001</v>
      </c>
      <c r="D309" s="3">
        <v>-97.646960000000007</v>
      </c>
      <c r="E309" s="3" t="s">
        <v>325</v>
      </c>
      <c r="F309" s="3" t="s">
        <v>985</v>
      </c>
      <c r="G309" s="3">
        <v>516</v>
      </c>
      <c r="H309" s="3" t="s">
        <v>12</v>
      </c>
      <c r="I309" s="3" t="s">
        <v>344</v>
      </c>
      <c r="J309" s="10" t="s">
        <v>340</v>
      </c>
      <c r="K309" t="str">
        <f t="shared" si="29"/>
        <v/>
      </c>
      <c r="L309" t="str">
        <f t="shared" si="30"/>
        <v/>
      </c>
      <c r="M309" t="str">
        <f t="shared" si="31"/>
        <v/>
      </c>
      <c r="N309" t="str">
        <f t="shared" si="34"/>
        <v/>
      </c>
      <c r="O309" t="str">
        <f t="shared" si="35"/>
        <v/>
      </c>
    </row>
    <row r="310" spans="1:27" ht="15.75" thickBot="1" x14ac:dyDescent="0.3">
      <c r="A310" s="3" t="s">
        <v>177</v>
      </c>
      <c r="B310" s="3" t="s">
        <v>324</v>
      </c>
      <c r="C310" s="3">
        <v>30.032474000000001</v>
      </c>
      <c r="D310" s="3">
        <v>-94.078575999999998</v>
      </c>
      <c r="E310" s="3" t="s">
        <v>325</v>
      </c>
      <c r="F310" s="3" t="s">
        <v>986</v>
      </c>
      <c r="G310" s="3">
        <v>1494</v>
      </c>
      <c r="H310" s="3" t="s">
        <v>12</v>
      </c>
      <c r="I310" s="3" t="s">
        <v>344</v>
      </c>
      <c r="J310" s="10" t="s">
        <v>341</v>
      </c>
      <c r="K310" t="str">
        <f t="shared" si="29"/>
        <v/>
      </c>
      <c r="L310" t="str">
        <f t="shared" si="30"/>
        <v/>
      </c>
      <c r="M310" t="str">
        <f t="shared" si="31"/>
        <v/>
      </c>
      <c r="N310" t="str">
        <f t="shared" si="34"/>
        <v/>
      </c>
      <c r="O310" t="str">
        <f t="shared" si="35"/>
        <v/>
      </c>
    </row>
    <row r="311" spans="1:27" x14ac:dyDescent="0.25">
      <c r="A311" s="3"/>
      <c r="B311" s="3"/>
      <c r="C311" s="3"/>
      <c r="D311" s="3"/>
      <c r="E311" s="3"/>
      <c r="F311" s="3"/>
      <c r="G311" s="3"/>
      <c r="H311" s="3"/>
      <c r="I311" s="3"/>
      <c r="J311" s="3"/>
      <c r="N311" t="str">
        <f t="shared" si="34"/>
        <v/>
      </c>
      <c r="O311" t="str">
        <f t="shared" si="35"/>
        <v/>
      </c>
      <c r="P311" s="52" t="s">
        <v>1052</v>
      </c>
    </row>
    <row r="312" spans="1:27" ht="19.5" thickBot="1" x14ac:dyDescent="0.35">
      <c r="A312" s="5" t="s">
        <v>818</v>
      </c>
      <c r="B312" s="3"/>
      <c r="C312" s="3"/>
      <c r="D312" s="3"/>
      <c r="E312" s="3"/>
      <c r="F312" s="3"/>
      <c r="H312" s="3" t="s">
        <v>819</v>
      </c>
      <c r="I312" s="3"/>
      <c r="J312" s="3"/>
      <c r="L312" s="3"/>
      <c r="M312" s="3"/>
      <c r="N312" t="str">
        <f t="shared" si="34"/>
        <v/>
      </c>
      <c r="O312" t="str">
        <f t="shared" si="35"/>
        <v/>
      </c>
      <c r="P312" s="53">
        <f>SUM(N168:N312)</f>
        <v>3120</v>
      </c>
      <c r="R312" s="3" t="s">
        <v>835</v>
      </c>
      <c r="S312" s="3"/>
      <c r="T312" s="3"/>
    </row>
    <row r="313" spans="1:27" x14ac:dyDescent="0.25">
      <c r="A313" s="3" t="s">
        <v>178</v>
      </c>
      <c r="B313" s="3" t="s">
        <v>488</v>
      </c>
      <c r="C313" s="20">
        <v>45407.833333333336</v>
      </c>
      <c r="D313" s="20">
        <v>45408.25</v>
      </c>
      <c r="E313" s="3" t="s">
        <v>490</v>
      </c>
      <c r="F313" s="3"/>
      <c r="G313" s="3"/>
      <c r="H313" s="3" t="s">
        <v>1092</v>
      </c>
      <c r="I313" s="46" t="s">
        <v>1109</v>
      </c>
      <c r="J313" s="46" t="s">
        <v>1109</v>
      </c>
      <c r="K313" t="str">
        <f t="shared" si="29"/>
        <v/>
      </c>
      <c r="L313" s="42">
        <v>45407.802083333336</v>
      </c>
      <c r="M313" s="42">
        <v>45408.217361111114</v>
      </c>
      <c r="N313" t="str">
        <f t="shared" si="34"/>
        <v/>
      </c>
      <c r="R313" s="19">
        <f>IF(M313&lt;D313,M313,D313)</f>
        <v>45408.217361111114</v>
      </c>
      <c r="S313" s="3">
        <f>IF((R313-Q315)*60*24&gt;=480,480,(R313-Q315)*60*24)</f>
        <v>480</v>
      </c>
      <c r="T313" s="3" t="str">
        <f>IF(AND(K313="Y",S313&gt;=240),"A","D")</f>
        <v>D</v>
      </c>
    </row>
    <row r="314" spans="1:27" x14ac:dyDescent="0.25">
      <c r="A314" s="3" t="s">
        <v>179</v>
      </c>
      <c r="B314" s="3" t="s">
        <v>489</v>
      </c>
      <c r="C314" s="20">
        <v>45408.833333333336</v>
      </c>
      <c r="D314" s="20">
        <v>45409.25</v>
      </c>
      <c r="E314" s="3" t="s">
        <v>491</v>
      </c>
      <c r="F314" s="3"/>
      <c r="G314" s="3"/>
      <c r="H314" s="3" t="s">
        <v>1092</v>
      </c>
      <c r="I314" s="46" t="s">
        <v>1109</v>
      </c>
      <c r="J314" s="46" t="s">
        <v>1109</v>
      </c>
      <c r="K314" t="str">
        <f t="shared" si="29"/>
        <v/>
      </c>
      <c r="L314" s="42">
        <v>45408.974305555559</v>
      </c>
      <c r="M314" s="42">
        <v>45409.342361111114</v>
      </c>
      <c r="N314" s="3" t="str">
        <f t="shared" si="34"/>
        <v/>
      </c>
      <c r="O314" s="3"/>
      <c r="P314" s="54"/>
      <c r="Q314" s="54" t="s">
        <v>834</v>
      </c>
      <c r="R314" s="19">
        <f>IF(M314&lt;D314,M314,D314)</f>
        <v>45409.25</v>
      </c>
      <c r="S314" s="3">
        <f>IF((R314-Q316)*60*24&gt;=480,480,(R314-Q316)*60*24)</f>
        <v>396.99999999487773</v>
      </c>
      <c r="T314" s="3" t="str">
        <f>IF(AND(K314="Y",S314&gt;=240),"A","D")</f>
        <v>D</v>
      </c>
      <c r="U314" s="3"/>
    </row>
    <row r="315" spans="1:27" x14ac:dyDescent="0.25">
      <c r="A315" s="3"/>
      <c r="B315" s="3"/>
      <c r="C315" s="3"/>
      <c r="D315" s="3"/>
      <c r="E315" s="3"/>
      <c r="F315" s="3"/>
      <c r="G315" s="3"/>
      <c r="H315" s="3"/>
      <c r="I315" s="3"/>
      <c r="J315" s="3"/>
      <c r="L315" s="3"/>
      <c r="M315" s="3"/>
      <c r="N315" s="3" t="str">
        <f t="shared" si="34"/>
        <v/>
      </c>
      <c r="O315" s="3"/>
      <c r="P315" s="54" t="s">
        <v>178</v>
      </c>
      <c r="Q315" s="55">
        <f>IF(L313&lt;C313,C313,L313)</f>
        <v>45407.833333333336</v>
      </c>
      <c r="R315" s="3" t="s">
        <v>1055</v>
      </c>
      <c r="S315" s="43">
        <v>45407</v>
      </c>
      <c r="T315" s="3" t="str">
        <f>IFERROR(VLOOKUP(S315,$T$364:$Z$427,3,FALSE),"")</f>
        <v/>
      </c>
      <c r="U315" s="3" t="str">
        <f>IF(S313&lt;240,"Insuff Time","")</f>
        <v/>
      </c>
      <c r="X315" s="17"/>
    </row>
    <row r="316" spans="1:27" x14ac:dyDescent="0.25">
      <c r="A316" s="3"/>
      <c r="B316" s="3"/>
      <c r="C316" s="3"/>
      <c r="D316" s="3"/>
      <c r="E316" s="3"/>
      <c r="F316" s="3"/>
      <c r="G316" s="3"/>
      <c r="H316" s="3"/>
      <c r="I316" s="3"/>
      <c r="J316" s="3"/>
      <c r="L316" s="3"/>
      <c r="M316" s="3"/>
      <c r="N316" s="3" t="str">
        <f t="shared" si="34"/>
        <v/>
      </c>
      <c r="O316" s="3"/>
      <c r="P316" s="54" t="s">
        <v>179</v>
      </c>
      <c r="Q316" s="55">
        <f>IF(L314&lt;C314,C314,L314)</f>
        <v>45408.974305555559</v>
      </c>
      <c r="R316" s="3" t="s">
        <v>1056</v>
      </c>
      <c r="S316" s="43">
        <v>45408</v>
      </c>
      <c r="T316" s="3" t="str">
        <f t="shared" ref="T316:T317" si="36">IFERROR(VLOOKUP(S316,$T$364:$Z$427,3,FALSE),"")</f>
        <v/>
      </c>
      <c r="U316" s="3" t="str">
        <f>IF(S314&lt;240,"Insuff Time","")</f>
        <v/>
      </c>
      <c r="X316" s="17"/>
    </row>
    <row r="317" spans="1:27" ht="18.75" x14ac:dyDescent="0.3">
      <c r="A317" s="5" t="s">
        <v>492</v>
      </c>
      <c r="B317" s="3"/>
      <c r="C317" s="3"/>
      <c r="D317" s="3"/>
      <c r="E317" s="3"/>
      <c r="F317" s="3"/>
      <c r="G317" s="3"/>
      <c r="H317" s="3"/>
      <c r="I317" s="3"/>
      <c r="J317" s="3"/>
      <c r="L317" s="3"/>
      <c r="M317" s="3"/>
      <c r="N317" s="3" t="str">
        <f t="shared" si="34"/>
        <v/>
      </c>
      <c r="O317" s="43"/>
      <c r="P317" s="54"/>
      <c r="Q317" s="54"/>
      <c r="R317" s="3" t="s">
        <v>1057</v>
      </c>
      <c r="S317" s="43">
        <v>45409</v>
      </c>
      <c r="T317" s="3" t="str">
        <f t="shared" si="36"/>
        <v/>
      </c>
      <c r="U317" s="28">
        <f>INDEX($S$364:$S$427,MATCH(T315,$V$366:$V$429,0))</f>
        <v>0</v>
      </c>
      <c r="V317" s="14" t="str">
        <f>IF(T315="","",IF(U317&lt;45,"D","A"))</f>
        <v/>
      </c>
      <c r="W317" s="14"/>
      <c r="X317" s="17"/>
    </row>
    <row r="318" spans="1:27" ht="15.75" thickBot="1" x14ac:dyDescent="0.3">
      <c r="A318" s="3" t="s">
        <v>815</v>
      </c>
      <c r="B318" s="3" t="s">
        <v>816</v>
      </c>
      <c r="C318" s="3" t="s">
        <v>1</v>
      </c>
      <c r="D318" s="3" t="s">
        <v>2</v>
      </c>
      <c r="E318" s="3" t="s">
        <v>495</v>
      </c>
      <c r="F318" s="3" t="s">
        <v>11</v>
      </c>
      <c r="G318" s="3" t="s">
        <v>817</v>
      </c>
      <c r="H318" s="3" t="s">
        <v>493</v>
      </c>
      <c r="I318" s="3" t="s">
        <v>494</v>
      </c>
      <c r="J318" s="3"/>
      <c r="K318" t="str">
        <f t="shared" si="29"/>
        <v/>
      </c>
      <c r="L318" s="3"/>
      <c r="M318" s="3"/>
      <c r="N318" s="3" t="str">
        <f t="shared" si="34"/>
        <v/>
      </c>
      <c r="O318" s="43"/>
      <c r="P318" s="54"/>
      <c r="Q318" s="54" t="s">
        <v>1058</v>
      </c>
      <c r="R318" s="3" t="s">
        <v>835</v>
      </c>
      <c r="S318" s="3"/>
      <c r="T318" s="3"/>
      <c r="U318" s="28">
        <f>INDEX($S$364:$S$427,MATCH(T316,$V$366:$V$429,0))</f>
        <v>0</v>
      </c>
      <c r="V318" s="14" t="str">
        <f>IF(T316="","",IF(U318&lt;45,"D","A"))</f>
        <v/>
      </c>
      <c r="W318" s="14"/>
    </row>
    <row r="319" spans="1:27" x14ac:dyDescent="0.25">
      <c r="A319" s="3" t="s">
        <v>496</v>
      </c>
      <c r="B319" s="3" t="s">
        <v>497</v>
      </c>
      <c r="C319" s="3">
        <v>27.762435</v>
      </c>
      <c r="D319" s="3">
        <v>-98.048445999999998</v>
      </c>
      <c r="E319" s="3" t="s">
        <v>500</v>
      </c>
      <c r="F319" s="3" t="s">
        <v>987</v>
      </c>
      <c r="G319" s="3">
        <v>0</v>
      </c>
      <c r="H319" s="3" t="s">
        <v>1108</v>
      </c>
      <c r="I319" s="45" t="s">
        <v>1109</v>
      </c>
      <c r="J319" s="46" t="s">
        <v>1109</v>
      </c>
      <c r="K319" s="3">
        <v>1</v>
      </c>
      <c r="L319" t="str">
        <f t="shared" ref="L319:L350" si="37">IF(COUNTIF($F$21:$F$135,A319)&gt;0,"Y","")</f>
        <v/>
      </c>
      <c r="M319" s="19" t="str">
        <f t="shared" ref="M319:M350" si="38">IF(R319="","",R319)</f>
        <v/>
      </c>
      <c r="N319" s="3" t="str">
        <f t="shared" si="34"/>
        <v/>
      </c>
      <c r="O319" s="43"/>
      <c r="P319" s="56" t="s">
        <v>1053</v>
      </c>
      <c r="Q319" s="54">
        <f>COUNTIF(S315:S317,"A")</f>
        <v>0</v>
      </c>
      <c r="R319" s="19"/>
      <c r="S319" s="19"/>
      <c r="T319" s="3" t="str">
        <f t="shared" ref="T319:T350" si="39">IF(L319="","",(S319-R319)*60*24)</f>
        <v/>
      </c>
      <c r="U319" s="28">
        <f>INDEX($S$364:$S$427,MATCH(T317,$V$366:$V$429,0))</f>
        <v>0</v>
      </c>
      <c r="V319" s="14" t="str">
        <f>IF(T317="","",IF(U319&lt;45,"D","A"))</f>
        <v/>
      </c>
      <c r="W319" s="14"/>
      <c r="X319" t="str">
        <f t="shared" ref="X319:X350" si="40">IF(L319="Y",O321,"")</f>
        <v/>
      </c>
      <c r="Y319" s="14" t="str">
        <f t="shared" ref="Y319:Y350" si="41">IF(L319="Y",R319,"")</f>
        <v/>
      </c>
      <c r="Z319" s="14" t="str">
        <f t="shared" ref="Z319:Z350" si="42">IF(L319="Y",S319,"")</f>
        <v/>
      </c>
      <c r="AA319" s="15" t="str">
        <f t="shared" ref="AA319:AA382" si="43">IF(L319="","",INT(Y319))</f>
        <v/>
      </c>
    </row>
    <row r="320" spans="1:27" ht="15.75" thickBot="1" x14ac:dyDescent="0.3">
      <c r="A320" s="3" t="s">
        <v>501</v>
      </c>
      <c r="B320" s="3" t="s">
        <v>502</v>
      </c>
      <c r="C320" s="3">
        <v>31.755181</v>
      </c>
      <c r="D320" s="3">
        <v>-96.649413999999993</v>
      </c>
      <c r="E320" s="3" t="s">
        <v>505</v>
      </c>
      <c r="F320" s="3" t="s">
        <v>988</v>
      </c>
      <c r="G320" s="3">
        <v>4000</v>
      </c>
      <c r="H320" s="3" t="s">
        <v>1108</v>
      </c>
      <c r="I320" s="45" t="s">
        <v>1109</v>
      </c>
      <c r="J320" s="46" t="s">
        <v>1109</v>
      </c>
      <c r="K320" s="3">
        <v>2</v>
      </c>
      <c r="L320" t="str">
        <f t="shared" si="37"/>
        <v/>
      </c>
      <c r="M320" s="19">
        <f t="shared" si="38"/>
        <v>45408.666666666664</v>
      </c>
      <c r="N320" s="3" t="str">
        <f t="shared" si="34"/>
        <v/>
      </c>
      <c r="O320" s="3"/>
      <c r="P320" s="57">
        <f>SUM(O321:O384)</f>
        <v>0</v>
      </c>
      <c r="Q320" s="54" t="s">
        <v>834</v>
      </c>
      <c r="R320" s="19">
        <v>45408.666666666664</v>
      </c>
      <c r="S320" s="19">
        <v>45408.701388888891</v>
      </c>
      <c r="T320" s="3" t="str">
        <f t="shared" si="39"/>
        <v/>
      </c>
      <c r="U320" s="3"/>
      <c r="X320" t="str">
        <f t="shared" si="40"/>
        <v/>
      </c>
      <c r="Y320" s="14" t="str">
        <f t="shared" si="41"/>
        <v/>
      </c>
      <c r="Z320" s="14" t="str">
        <f t="shared" si="42"/>
        <v/>
      </c>
      <c r="AA320" s="15" t="str">
        <f t="shared" si="43"/>
        <v/>
      </c>
    </row>
    <row r="321" spans="1:27" x14ac:dyDescent="0.25">
      <c r="A321" s="3" t="s">
        <v>506</v>
      </c>
      <c r="B321" s="3" t="s">
        <v>507</v>
      </c>
      <c r="C321" s="3">
        <v>33.315809999999999</v>
      </c>
      <c r="D321" s="3">
        <v>-99.855283</v>
      </c>
      <c r="E321" s="3" t="s">
        <v>510</v>
      </c>
      <c r="F321" s="3" t="s">
        <v>989</v>
      </c>
      <c r="G321" s="3">
        <v>4000</v>
      </c>
      <c r="H321" s="3" t="s">
        <v>1108</v>
      </c>
      <c r="I321" s="45" t="s">
        <v>1109</v>
      </c>
      <c r="J321" s="46" t="s">
        <v>1109</v>
      </c>
      <c r="K321" s="3">
        <v>3</v>
      </c>
      <c r="L321" t="str">
        <f t="shared" si="37"/>
        <v/>
      </c>
      <c r="M321" s="19" t="str">
        <f t="shared" si="38"/>
        <v/>
      </c>
      <c r="N321" s="19" t="str">
        <f>IF(S319="","",S319)</f>
        <v/>
      </c>
      <c r="O321" s="3" t="str">
        <f t="shared" ref="O321:O352" si="44">IF(L319="Y",G319,"")</f>
        <v/>
      </c>
      <c r="P321" s="54"/>
      <c r="Q321" s="54"/>
      <c r="R321" s="19"/>
      <c r="S321" s="19"/>
      <c r="T321" s="3" t="str">
        <f t="shared" si="39"/>
        <v/>
      </c>
      <c r="U321" s="44" t="str">
        <f>IF(T319="","",INT(R319))</f>
        <v/>
      </c>
      <c r="V321" s="3" t="str">
        <f>IF(L319="","",COUNTIF($L319:L$364,"Y"))</f>
        <v/>
      </c>
      <c r="W321" t="str">
        <f t="shared" ref="W321:W352" si="45">IF(L319="Y",A319,"")</f>
        <v/>
      </c>
      <c r="X321" t="str">
        <f t="shared" si="40"/>
        <v/>
      </c>
      <c r="Y321" s="14" t="str">
        <f t="shared" si="41"/>
        <v/>
      </c>
      <c r="Z321" s="14" t="str">
        <f t="shared" si="42"/>
        <v/>
      </c>
      <c r="AA321" s="15" t="str">
        <f t="shared" si="43"/>
        <v/>
      </c>
    </row>
    <row r="322" spans="1:27" x14ac:dyDescent="0.25">
      <c r="A322" s="3" t="s">
        <v>511</v>
      </c>
      <c r="B322" s="3" t="s">
        <v>512</v>
      </c>
      <c r="C322" s="3">
        <v>31.530456000000001</v>
      </c>
      <c r="D322" s="3">
        <v>-94.110438000000002</v>
      </c>
      <c r="E322" s="3" t="s">
        <v>515</v>
      </c>
      <c r="F322" s="3" t="s">
        <v>990</v>
      </c>
      <c r="G322" s="3">
        <v>4000</v>
      </c>
      <c r="H322" s="3" t="s">
        <v>1108</v>
      </c>
      <c r="I322" s="45" t="s">
        <v>1109</v>
      </c>
      <c r="J322" s="46" t="s">
        <v>1109</v>
      </c>
      <c r="K322" s="3">
        <v>4</v>
      </c>
      <c r="L322" t="str">
        <f t="shared" si="37"/>
        <v/>
      </c>
      <c r="M322" s="19" t="str">
        <f t="shared" si="38"/>
        <v/>
      </c>
      <c r="N322" s="19">
        <f t="shared" ref="N322:N384" si="46">IF(S320="","",S320)</f>
        <v>45408.701388888891</v>
      </c>
      <c r="O322" s="3" t="str">
        <f t="shared" si="44"/>
        <v/>
      </c>
      <c r="P322" s="54"/>
      <c r="Q322" s="54"/>
      <c r="R322" s="19"/>
      <c r="S322" s="19"/>
      <c r="T322" s="3" t="str">
        <f t="shared" si="39"/>
        <v/>
      </c>
      <c r="U322" s="44" t="str">
        <f t="shared" ref="U322:U384" si="47">IF(T320="","",INT(R320))</f>
        <v/>
      </c>
      <c r="V322" s="3" t="str">
        <f>IF(L320="","",COUNTIF($L320:L$364,"Y"))</f>
        <v/>
      </c>
      <c r="W322" t="str">
        <f t="shared" si="45"/>
        <v/>
      </c>
      <c r="X322" t="str">
        <f t="shared" si="40"/>
        <v/>
      </c>
      <c r="Y322" s="14" t="str">
        <f t="shared" si="41"/>
        <v/>
      </c>
      <c r="Z322" s="14" t="str">
        <f t="shared" si="42"/>
        <v/>
      </c>
      <c r="AA322" s="15" t="str">
        <f t="shared" si="43"/>
        <v/>
      </c>
    </row>
    <row r="323" spans="1:27" x14ac:dyDescent="0.25">
      <c r="A323" s="3" t="s">
        <v>516</v>
      </c>
      <c r="B323" s="3" t="s">
        <v>517</v>
      </c>
      <c r="C323" s="3">
        <v>31.926045999999999</v>
      </c>
      <c r="D323" s="3">
        <v>-97.290402</v>
      </c>
      <c r="E323" s="3" t="s">
        <v>520</v>
      </c>
      <c r="F323" s="3" t="s">
        <v>991</v>
      </c>
      <c r="G323" s="3">
        <v>0</v>
      </c>
      <c r="H323" s="3" t="s">
        <v>1108</v>
      </c>
      <c r="I323" s="45" t="s">
        <v>1109</v>
      </c>
      <c r="J323" s="46" t="s">
        <v>1109</v>
      </c>
      <c r="K323" s="3">
        <v>5</v>
      </c>
      <c r="L323" t="str">
        <f t="shared" si="37"/>
        <v/>
      </c>
      <c r="M323" s="19" t="str">
        <f t="shared" si="38"/>
        <v/>
      </c>
      <c r="N323" s="19" t="str">
        <f t="shared" si="46"/>
        <v/>
      </c>
      <c r="O323" s="3" t="str">
        <f t="shared" si="44"/>
        <v/>
      </c>
      <c r="P323" s="54"/>
      <c r="Q323" s="54"/>
      <c r="R323" s="19"/>
      <c r="S323" s="19"/>
      <c r="T323" s="3" t="str">
        <f t="shared" si="39"/>
        <v/>
      </c>
      <c r="U323" s="44" t="str">
        <f t="shared" si="47"/>
        <v/>
      </c>
      <c r="V323" s="3" t="str">
        <f>IF(L321="","",COUNTIF($L321:L$364,"Y"))</f>
        <v/>
      </c>
      <c r="W323" t="str">
        <f t="shared" si="45"/>
        <v/>
      </c>
      <c r="X323" t="str">
        <f t="shared" si="40"/>
        <v/>
      </c>
      <c r="Y323" s="14" t="str">
        <f t="shared" si="41"/>
        <v/>
      </c>
      <c r="Z323" s="14" t="str">
        <f t="shared" si="42"/>
        <v/>
      </c>
      <c r="AA323" s="15" t="str">
        <f t="shared" si="43"/>
        <v/>
      </c>
    </row>
    <row r="324" spans="1:27" x14ac:dyDescent="0.25">
      <c r="A324" s="3" t="s">
        <v>521</v>
      </c>
      <c r="B324" s="3" t="s">
        <v>522</v>
      </c>
      <c r="C324" s="3">
        <v>35.188001999999997</v>
      </c>
      <c r="D324" s="3">
        <v>-101.795</v>
      </c>
      <c r="E324" s="3" t="s">
        <v>525</v>
      </c>
      <c r="F324" s="3" t="s">
        <v>992</v>
      </c>
      <c r="G324" s="3">
        <v>0</v>
      </c>
      <c r="H324" s="3" t="s">
        <v>1108</v>
      </c>
      <c r="I324" s="45" t="s">
        <v>1109</v>
      </c>
      <c r="J324" s="46" t="s">
        <v>1109</v>
      </c>
      <c r="K324" s="3">
        <v>6</v>
      </c>
      <c r="L324" t="str">
        <f t="shared" si="37"/>
        <v/>
      </c>
      <c r="M324" s="19" t="str">
        <f t="shared" si="38"/>
        <v/>
      </c>
      <c r="N324" s="19" t="str">
        <f t="shared" si="46"/>
        <v/>
      </c>
      <c r="O324" s="3" t="str">
        <f t="shared" si="44"/>
        <v/>
      </c>
      <c r="P324" s="54"/>
      <c r="Q324" s="54"/>
      <c r="R324" s="19"/>
      <c r="S324" s="19"/>
      <c r="T324" s="3" t="str">
        <f t="shared" si="39"/>
        <v/>
      </c>
      <c r="U324" s="44" t="str">
        <f t="shared" si="47"/>
        <v/>
      </c>
      <c r="V324" s="3" t="str">
        <f>IF(L322="","",COUNTIF($L322:L$364,"Y"))</f>
        <v/>
      </c>
      <c r="W324" t="str">
        <f t="shared" si="45"/>
        <v/>
      </c>
      <c r="X324" t="str">
        <f t="shared" si="40"/>
        <v/>
      </c>
      <c r="Y324" s="14" t="str">
        <f t="shared" si="41"/>
        <v/>
      </c>
      <c r="Z324" s="14" t="str">
        <f t="shared" si="42"/>
        <v/>
      </c>
      <c r="AA324" s="15" t="str">
        <f t="shared" si="43"/>
        <v/>
      </c>
    </row>
    <row r="325" spans="1:27" x14ac:dyDescent="0.25">
      <c r="A325" s="3" t="s">
        <v>526</v>
      </c>
      <c r="B325" s="3" t="s">
        <v>527</v>
      </c>
      <c r="C325" s="3">
        <v>30.489217</v>
      </c>
      <c r="D325" s="3">
        <v>-95.988219999999998</v>
      </c>
      <c r="E325" s="3" t="s">
        <v>530</v>
      </c>
      <c r="F325" s="3" t="s">
        <v>993</v>
      </c>
      <c r="G325" s="3">
        <v>1000</v>
      </c>
      <c r="H325" s="3" t="s">
        <v>1108</v>
      </c>
      <c r="I325" s="45" t="s">
        <v>1109</v>
      </c>
      <c r="J325" s="46" t="s">
        <v>1109</v>
      </c>
      <c r="K325" s="3">
        <v>7</v>
      </c>
      <c r="L325" t="str">
        <f t="shared" si="37"/>
        <v/>
      </c>
      <c r="M325" s="19" t="str">
        <f t="shared" si="38"/>
        <v/>
      </c>
      <c r="N325" s="19" t="str">
        <f t="shared" si="46"/>
        <v/>
      </c>
      <c r="O325" s="3" t="str">
        <f t="shared" si="44"/>
        <v/>
      </c>
      <c r="P325" s="54"/>
      <c r="Q325" s="54"/>
      <c r="R325" s="19"/>
      <c r="S325" s="19"/>
      <c r="T325" s="3" t="str">
        <f t="shared" si="39"/>
        <v/>
      </c>
      <c r="U325" s="44" t="str">
        <f t="shared" si="47"/>
        <v/>
      </c>
      <c r="V325" s="3" t="str">
        <f>IF(L323="","",COUNTIF($L323:L$364,"Y"))</f>
        <v/>
      </c>
      <c r="W325" t="str">
        <f t="shared" si="45"/>
        <v/>
      </c>
      <c r="X325" t="str">
        <f t="shared" si="40"/>
        <v/>
      </c>
      <c r="Y325" s="14" t="str">
        <f t="shared" si="41"/>
        <v/>
      </c>
      <c r="Z325" s="14" t="str">
        <f t="shared" si="42"/>
        <v/>
      </c>
      <c r="AA325" s="15" t="str">
        <f t="shared" si="43"/>
        <v/>
      </c>
    </row>
    <row r="326" spans="1:27" x14ac:dyDescent="0.25">
      <c r="A326" s="3" t="s">
        <v>531</v>
      </c>
      <c r="B326" s="3" t="s">
        <v>532</v>
      </c>
      <c r="C326" s="3">
        <v>30.276992</v>
      </c>
      <c r="D326" s="3">
        <v>-97.742011000000005</v>
      </c>
      <c r="E326" s="3" t="s">
        <v>535</v>
      </c>
      <c r="F326" s="3" t="s">
        <v>994</v>
      </c>
      <c r="G326" s="3">
        <v>1000</v>
      </c>
      <c r="H326" s="3" t="s">
        <v>1108</v>
      </c>
      <c r="I326" s="45" t="s">
        <v>1109</v>
      </c>
      <c r="J326" s="46" t="s">
        <v>1109</v>
      </c>
      <c r="K326" s="3">
        <v>8</v>
      </c>
      <c r="L326" t="str">
        <f t="shared" si="37"/>
        <v/>
      </c>
      <c r="M326" s="19">
        <f t="shared" si="38"/>
        <v>45407.635416666664</v>
      </c>
      <c r="N326" s="19" t="str">
        <f t="shared" si="46"/>
        <v/>
      </c>
      <c r="O326" s="3" t="str">
        <f t="shared" si="44"/>
        <v/>
      </c>
      <c r="P326" s="54"/>
      <c r="Q326" s="54"/>
      <c r="R326" s="19">
        <v>45407.635416666664</v>
      </c>
      <c r="S326" s="19">
        <v>45407.65625</v>
      </c>
      <c r="T326" s="3" t="str">
        <f t="shared" si="39"/>
        <v/>
      </c>
      <c r="U326" s="44" t="str">
        <f t="shared" si="47"/>
        <v/>
      </c>
      <c r="V326" s="3" t="str">
        <f>IF(L324="","",COUNTIF($L324:L$364,"Y"))</f>
        <v/>
      </c>
      <c r="W326" t="str">
        <f t="shared" si="45"/>
        <v/>
      </c>
      <c r="X326" t="str">
        <f t="shared" si="40"/>
        <v/>
      </c>
      <c r="Y326" s="14" t="str">
        <f t="shared" si="41"/>
        <v/>
      </c>
      <c r="Z326" s="14" t="str">
        <f t="shared" si="42"/>
        <v/>
      </c>
      <c r="AA326" s="15" t="str">
        <f t="shared" si="43"/>
        <v/>
      </c>
    </row>
    <row r="327" spans="1:27" x14ac:dyDescent="0.25">
      <c r="A327" s="3" t="s">
        <v>536</v>
      </c>
      <c r="B327" s="3" t="s">
        <v>537</v>
      </c>
      <c r="C327" s="3">
        <v>30.109660000000002</v>
      </c>
      <c r="D327" s="3">
        <v>-97.319858999999994</v>
      </c>
      <c r="E327" s="3" t="s">
        <v>540</v>
      </c>
      <c r="F327" s="3" t="s">
        <v>995</v>
      </c>
      <c r="G327" s="3">
        <v>0</v>
      </c>
      <c r="H327" s="3" t="s">
        <v>1108</v>
      </c>
      <c r="I327" s="45" t="s">
        <v>1109</v>
      </c>
      <c r="J327" s="46" t="s">
        <v>1109</v>
      </c>
      <c r="K327" s="3">
        <v>9</v>
      </c>
      <c r="L327" t="str">
        <f t="shared" si="37"/>
        <v/>
      </c>
      <c r="M327" s="19">
        <f t="shared" si="38"/>
        <v>45409.4</v>
      </c>
      <c r="N327" s="19" t="str">
        <f t="shared" si="46"/>
        <v/>
      </c>
      <c r="O327" s="3" t="str">
        <f t="shared" si="44"/>
        <v/>
      </c>
      <c r="P327" s="54"/>
      <c r="Q327" s="54"/>
      <c r="R327" s="19">
        <v>45409.4</v>
      </c>
      <c r="S327" s="19">
        <v>45409.458333333336</v>
      </c>
      <c r="T327" s="3" t="str">
        <f t="shared" si="39"/>
        <v/>
      </c>
      <c r="U327" s="44" t="str">
        <f t="shared" si="47"/>
        <v/>
      </c>
      <c r="V327" s="3" t="str">
        <f>IF(L325="","",COUNTIF($L325:L$364,"Y"))</f>
        <v/>
      </c>
      <c r="W327" t="str">
        <f t="shared" si="45"/>
        <v/>
      </c>
      <c r="X327" t="str">
        <f t="shared" si="40"/>
        <v/>
      </c>
      <c r="Y327" s="14" t="str">
        <f t="shared" si="41"/>
        <v/>
      </c>
      <c r="Z327" s="14" t="str">
        <f t="shared" si="42"/>
        <v/>
      </c>
      <c r="AA327" s="15" t="str">
        <f t="shared" si="43"/>
        <v/>
      </c>
    </row>
    <row r="328" spans="1:27" x14ac:dyDescent="0.25">
      <c r="A328" s="3" t="s">
        <v>541</v>
      </c>
      <c r="B328" s="3" t="s">
        <v>542</v>
      </c>
      <c r="C328" s="3">
        <v>33.228192</v>
      </c>
      <c r="D328" s="3">
        <v>-97.578603000000001</v>
      </c>
      <c r="E328" s="3" t="s">
        <v>545</v>
      </c>
      <c r="F328" s="3" t="s">
        <v>996</v>
      </c>
      <c r="G328" s="3">
        <v>0</v>
      </c>
      <c r="H328" s="3" t="s">
        <v>1108</v>
      </c>
      <c r="I328" s="45" t="s">
        <v>1109</v>
      </c>
      <c r="J328" s="46" t="s">
        <v>1109</v>
      </c>
      <c r="K328" s="3">
        <v>10</v>
      </c>
      <c r="L328" t="str">
        <f t="shared" si="37"/>
        <v/>
      </c>
      <c r="M328" s="19" t="str">
        <f t="shared" si="38"/>
        <v/>
      </c>
      <c r="N328" s="19">
        <f t="shared" si="46"/>
        <v>45407.65625</v>
      </c>
      <c r="O328" s="3" t="str">
        <f t="shared" si="44"/>
        <v/>
      </c>
      <c r="P328" s="54"/>
      <c r="Q328" s="54"/>
      <c r="R328" s="19"/>
      <c r="S328" s="19"/>
      <c r="T328" s="3" t="str">
        <f t="shared" si="39"/>
        <v/>
      </c>
      <c r="U328" s="44" t="str">
        <f t="shared" si="47"/>
        <v/>
      </c>
      <c r="V328" s="3" t="str">
        <f>IF(L326="","",COUNTIF($L326:L$364,"Y"))</f>
        <v/>
      </c>
      <c r="W328" t="str">
        <f t="shared" si="45"/>
        <v/>
      </c>
      <c r="X328" t="str">
        <f t="shared" si="40"/>
        <v/>
      </c>
      <c r="Y328" s="14" t="str">
        <f t="shared" si="41"/>
        <v/>
      </c>
      <c r="Z328" s="14" t="str">
        <f t="shared" si="42"/>
        <v/>
      </c>
      <c r="AA328" s="15" t="str">
        <f t="shared" si="43"/>
        <v/>
      </c>
    </row>
    <row r="329" spans="1:27" x14ac:dyDescent="0.25">
      <c r="A329" s="3" t="s">
        <v>546</v>
      </c>
      <c r="B329" s="3" t="s">
        <v>547</v>
      </c>
      <c r="C329" s="3">
        <v>29.330300999999999</v>
      </c>
      <c r="D329" s="3">
        <v>-99.280052999999995</v>
      </c>
      <c r="E329" s="3" t="s">
        <v>550</v>
      </c>
      <c r="F329" s="3" t="s">
        <v>997</v>
      </c>
      <c r="G329" s="3">
        <v>0</v>
      </c>
      <c r="H329" s="3" t="s">
        <v>1108</v>
      </c>
      <c r="I329" s="45" t="s">
        <v>1109</v>
      </c>
      <c r="J329" s="46" t="s">
        <v>1109</v>
      </c>
      <c r="K329" s="3">
        <v>11</v>
      </c>
      <c r="L329" t="str">
        <f t="shared" si="37"/>
        <v/>
      </c>
      <c r="M329" s="19" t="str">
        <f t="shared" si="38"/>
        <v/>
      </c>
      <c r="N329" s="19">
        <f t="shared" si="46"/>
        <v>45409.458333333336</v>
      </c>
      <c r="O329" s="3" t="str">
        <f t="shared" si="44"/>
        <v/>
      </c>
      <c r="P329" s="54"/>
      <c r="Q329" s="54"/>
      <c r="R329" s="19"/>
      <c r="S329" s="19"/>
      <c r="T329" s="3" t="str">
        <f t="shared" si="39"/>
        <v/>
      </c>
      <c r="U329" s="44" t="str">
        <f t="shared" si="47"/>
        <v/>
      </c>
      <c r="V329" s="3" t="str">
        <f>IF(L327="","",COUNTIF($L327:L$364,"Y"))</f>
        <v/>
      </c>
      <c r="W329" t="str">
        <f t="shared" si="45"/>
        <v/>
      </c>
      <c r="X329" t="str">
        <f t="shared" si="40"/>
        <v/>
      </c>
      <c r="Y329" s="14" t="str">
        <f t="shared" si="41"/>
        <v/>
      </c>
      <c r="Z329" s="14" t="str">
        <f t="shared" si="42"/>
        <v/>
      </c>
      <c r="AA329" s="15" t="str">
        <f t="shared" si="43"/>
        <v/>
      </c>
    </row>
    <row r="330" spans="1:27" x14ac:dyDescent="0.25">
      <c r="A330" s="3" t="s">
        <v>551</v>
      </c>
      <c r="B330" s="3" t="s">
        <v>552</v>
      </c>
      <c r="C330" s="3">
        <v>30.40596</v>
      </c>
      <c r="D330" s="3">
        <v>-97.000281000000001</v>
      </c>
      <c r="E330" s="3" t="s">
        <v>555</v>
      </c>
      <c r="F330" s="3" t="s">
        <v>998</v>
      </c>
      <c r="G330" s="3">
        <v>0</v>
      </c>
      <c r="H330" s="3" t="s">
        <v>1108</v>
      </c>
      <c r="I330" s="45" t="s">
        <v>1109</v>
      </c>
      <c r="J330" s="46" t="s">
        <v>1109</v>
      </c>
      <c r="K330" s="3">
        <v>12</v>
      </c>
      <c r="L330" t="str">
        <f t="shared" si="37"/>
        <v/>
      </c>
      <c r="M330" s="19" t="str">
        <f t="shared" si="38"/>
        <v/>
      </c>
      <c r="N330" s="19" t="str">
        <f t="shared" si="46"/>
        <v/>
      </c>
      <c r="O330" s="3" t="str">
        <f t="shared" si="44"/>
        <v/>
      </c>
      <c r="P330" s="54"/>
      <c r="Q330" s="54"/>
      <c r="R330" s="19"/>
      <c r="S330" s="19"/>
      <c r="T330" s="3" t="str">
        <f t="shared" si="39"/>
        <v/>
      </c>
      <c r="U330" s="44" t="str">
        <f t="shared" si="47"/>
        <v/>
      </c>
      <c r="V330" s="3" t="str">
        <f>IF(L328="","",COUNTIF($L328:L$364,"Y"))</f>
        <v/>
      </c>
      <c r="W330" t="str">
        <f t="shared" si="45"/>
        <v/>
      </c>
      <c r="X330" t="str">
        <f t="shared" si="40"/>
        <v/>
      </c>
      <c r="Y330" s="14" t="str">
        <f t="shared" si="41"/>
        <v/>
      </c>
      <c r="Z330" s="14" t="str">
        <f t="shared" si="42"/>
        <v/>
      </c>
      <c r="AA330" s="15" t="str">
        <f t="shared" si="43"/>
        <v/>
      </c>
    </row>
    <row r="331" spans="1:27" x14ac:dyDescent="0.25">
      <c r="A331" s="3" t="s">
        <v>556</v>
      </c>
      <c r="B331" s="3" t="s">
        <v>557</v>
      </c>
      <c r="C331" s="3">
        <v>29.615894000000001</v>
      </c>
      <c r="D331" s="3">
        <v>-99.526953000000006</v>
      </c>
      <c r="E331" s="3" t="s">
        <v>560</v>
      </c>
      <c r="F331" s="3" t="s">
        <v>999</v>
      </c>
      <c r="G331" s="3">
        <v>0</v>
      </c>
      <c r="H331" s="3" t="s">
        <v>1108</v>
      </c>
      <c r="I331" s="45" t="s">
        <v>1109</v>
      </c>
      <c r="J331" s="46" t="s">
        <v>1109</v>
      </c>
      <c r="K331" s="3">
        <v>13</v>
      </c>
      <c r="L331" t="str">
        <f t="shared" si="37"/>
        <v/>
      </c>
      <c r="M331" s="19" t="str">
        <f t="shared" si="38"/>
        <v/>
      </c>
      <c r="N331" s="19" t="str">
        <f t="shared" si="46"/>
        <v/>
      </c>
      <c r="O331" s="3" t="str">
        <f t="shared" si="44"/>
        <v/>
      </c>
      <c r="P331" s="54"/>
      <c r="Q331" s="54"/>
      <c r="R331" s="19"/>
      <c r="S331" s="19"/>
      <c r="T331" s="3" t="str">
        <f t="shared" si="39"/>
        <v/>
      </c>
      <c r="U331" s="44" t="str">
        <f t="shared" si="47"/>
        <v/>
      </c>
      <c r="V331" s="3" t="str">
        <f>IF(L329="","",COUNTIF($L329:L$364,"Y"))</f>
        <v/>
      </c>
      <c r="W331" t="str">
        <f t="shared" si="45"/>
        <v/>
      </c>
      <c r="X331" t="str">
        <f t="shared" si="40"/>
        <v/>
      </c>
      <c r="Y331" s="14" t="str">
        <f t="shared" si="41"/>
        <v/>
      </c>
      <c r="Z331" s="14" t="str">
        <f t="shared" si="42"/>
        <v/>
      </c>
      <c r="AA331" s="15" t="str">
        <f t="shared" si="43"/>
        <v/>
      </c>
    </row>
    <row r="332" spans="1:27" x14ac:dyDescent="0.25">
      <c r="A332" s="3" t="s">
        <v>561</v>
      </c>
      <c r="B332" s="3" t="s">
        <v>562</v>
      </c>
      <c r="C332" s="3">
        <v>31.803252000000001</v>
      </c>
      <c r="D332" s="3">
        <v>-97.091830999999999</v>
      </c>
      <c r="E332" s="3" t="s">
        <v>565</v>
      </c>
      <c r="F332" s="3" t="s">
        <v>1000</v>
      </c>
      <c r="G332" s="3">
        <v>500</v>
      </c>
      <c r="H332" s="3" t="s">
        <v>1108</v>
      </c>
      <c r="I332" s="45" t="s">
        <v>1109</v>
      </c>
      <c r="J332" s="46" t="s">
        <v>1109</v>
      </c>
      <c r="K332" s="3">
        <v>14</v>
      </c>
      <c r="L332" t="str">
        <f t="shared" si="37"/>
        <v/>
      </c>
      <c r="M332" s="19">
        <f t="shared" si="38"/>
        <v>45407.635416666664</v>
      </c>
      <c r="N332" s="19" t="str">
        <f t="shared" si="46"/>
        <v/>
      </c>
      <c r="O332" s="3" t="str">
        <f t="shared" si="44"/>
        <v/>
      </c>
      <c r="P332" s="54"/>
      <c r="Q332" s="54"/>
      <c r="R332" s="19">
        <v>45407.635416666664</v>
      </c>
      <c r="S332" s="19">
        <v>45407.65625</v>
      </c>
      <c r="T332" s="3" t="str">
        <f t="shared" si="39"/>
        <v/>
      </c>
      <c r="U332" s="44" t="str">
        <f t="shared" si="47"/>
        <v/>
      </c>
      <c r="V332" s="3" t="str">
        <f>IF(L330="","",COUNTIF($L330:L$364,"Y"))</f>
        <v/>
      </c>
      <c r="W332" t="str">
        <f t="shared" si="45"/>
        <v/>
      </c>
      <c r="X332" t="str">
        <f t="shared" si="40"/>
        <v/>
      </c>
      <c r="Y332" s="14" t="str">
        <f t="shared" si="41"/>
        <v/>
      </c>
      <c r="Z332" s="14" t="str">
        <f t="shared" si="42"/>
        <v/>
      </c>
      <c r="AA332" s="15" t="str">
        <f t="shared" si="43"/>
        <v/>
      </c>
    </row>
    <row r="333" spans="1:27" x14ac:dyDescent="0.25">
      <c r="A333" s="3" t="s">
        <v>566</v>
      </c>
      <c r="B333" s="3" t="s">
        <v>567</v>
      </c>
      <c r="C333" s="3">
        <v>29.945678999999998</v>
      </c>
      <c r="D333" s="3">
        <v>-96.252172000000002</v>
      </c>
      <c r="E333" s="3" t="s">
        <v>570</v>
      </c>
      <c r="F333" s="3" t="s">
        <v>1001</v>
      </c>
      <c r="G333" s="3">
        <v>0</v>
      </c>
      <c r="H333" s="3" t="s">
        <v>1108</v>
      </c>
      <c r="I333" s="45" t="s">
        <v>1109</v>
      </c>
      <c r="J333" s="46" t="s">
        <v>1109</v>
      </c>
      <c r="K333" s="3">
        <v>15</v>
      </c>
      <c r="L333" t="str">
        <f t="shared" si="37"/>
        <v/>
      </c>
      <c r="M333" s="19" t="str">
        <f t="shared" si="38"/>
        <v/>
      </c>
      <c r="N333" s="19" t="str">
        <f t="shared" si="46"/>
        <v/>
      </c>
      <c r="O333" s="3" t="str">
        <f t="shared" si="44"/>
        <v/>
      </c>
      <c r="P333" s="54"/>
      <c r="Q333" s="54"/>
      <c r="R333" s="19"/>
      <c r="S333" s="19"/>
      <c r="T333" s="3" t="str">
        <f t="shared" si="39"/>
        <v/>
      </c>
      <c r="U333" s="44" t="str">
        <f t="shared" si="47"/>
        <v/>
      </c>
      <c r="V333" s="3" t="str">
        <f>IF(L331="","",COUNTIF($L331:L$364,"Y"))</f>
        <v/>
      </c>
      <c r="W333" t="str">
        <f t="shared" si="45"/>
        <v/>
      </c>
      <c r="X333" t="str">
        <f t="shared" si="40"/>
        <v/>
      </c>
      <c r="Y333" s="14" t="str">
        <f t="shared" si="41"/>
        <v/>
      </c>
      <c r="Z333" s="14" t="str">
        <f t="shared" si="42"/>
        <v/>
      </c>
      <c r="AA333" s="15" t="str">
        <f t="shared" si="43"/>
        <v/>
      </c>
    </row>
    <row r="334" spans="1:27" x14ac:dyDescent="0.25">
      <c r="A334" s="3" t="s">
        <v>571</v>
      </c>
      <c r="B334" s="3" t="s">
        <v>572</v>
      </c>
      <c r="C334" s="3">
        <v>31.399168</v>
      </c>
      <c r="D334" s="3">
        <v>-102.3511</v>
      </c>
      <c r="E334" s="3" t="s">
        <v>575</v>
      </c>
      <c r="F334" s="3" t="s">
        <v>1002</v>
      </c>
      <c r="G334" s="3">
        <v>0</v>
      </c>
      <c r="H334" s="3" t="s">
        <v>1108</v>
      </c>
      <c r="I334" s="45" t="s">
        <v>1109</v>
      </c>
      <c r="J334" s="46" t="s">
        <v>1109</v>
      </c>
      <c r="K334" s="3">
        <v>16</v>
      </c>
      <c r="L334" t="str">
        <f t="shared" si="37"/>
        <v/>
      </c>
      <c r="M334" s="19">
        <f t="shared" si="38"/>
        <v>45409.4</v>
      </c>
      <c r="N334" s="19">
        <f t="shared" si="46"/>
        <v>45407.65625</v>
      </c>
      <c r="O334" s="3" t="str">
        <f t="shared" si="44"/>
        <v/>
      </c>
      <c r="P334" s="54"/>
      <c r="Q334" s="54"/>
      <c r="R334" s="19">
        <v>45409.4</v>
      </c>
      <c r="S334" s="19">
        <v>45409.458333333336</v>
      </c>
      <c r="T334" s="3" t="str">
        <f t="shared" si="39"/>
        <v/>
      </c>
      <c r="U334" s="44" t="str">
        <f t="shared" si="47"/>
        <v/>
      </c>
      <c r="V334" s="3" t="str">
        <f>IF(L332="","",COUNTIF($L332:L$364,"Y"))</f>
        <v/>
      </c>
      <c r="W334" t="str">
        <f t="shared" si="45"/>
        <v/>
      </c>
      <c r="X334" t="str">
        <f t="shared" si="40"/>
        <v/>
      </c>
      <c r="Y334" s="14" t="str">
        <f t="shared" si="41"/>
        <v/>
      </c>
      <c r="Z334" s="14" t="str">
        <f t="shared" si="42"/>
        <v/>
      </c>
      <c r="AA334" s="15" t="str">
        <f t="shared" si="43"/>
        <v/>
      </c>
    </row>
    <row r="335" spans="1:27" x14ac:dyDescent="0.25">
      <c r="A335" s="3" t="s">
        <v>576</v>
      </c>
      <c r="B335" s="3" t="s">
        <v>577</v>
      </c>
      <c r="C335" s="3">
        <v>29.090923</v>
      </c>
      <c r="D335" s="3">
        <v>-97.293111999999994</v>
      </c>
      <c r="E335" s="3" t="s">
        <v>580</v>
      </c>
      <c r="F335" s="3" t="s">
        <v>1003</v>
      </c>
      <c r="G335" s="3">
        <v>0</v>
      </c>
      <c r="H335" s="3" t="s">
        <v>1108</v>
      </c>
      <c r="I335" s="45" t="s">
        <v>1109</v>
      </c>
      <c r="J335" s="46" t="s">
        <v>1109</v>
      </c>
      <c r="K335" s="3">
        <v>17</v>
      </c>
      <c r="L335" t="str">
        <f t="shared" si="37"/>
        <v/>
      </c>
      <c r="M335" s="19" t="str">
        <f t="shared" si="38"/>
        <v/>
      </c>
      <c r="N335" s="19" t="str">
        <f t="shared" si="46"/>
        <v/>
      </c>
      <c r="O335" s="3" t="str">
        <f t="shared" si="44"/>
        <v/>
      </c>
      <c r="P335" s="54"/>
      <c r="Q335" s="54"/>
      <c r="R335" s="19"/>
      <c r="S335" s="19"/>
      <c r="T335" s="3" t="str">
        <f t="shared" si="39"/>
        <v/>
      </c>
      <c r="U335" s="44" t="str">
        <f t="shared" si="47"/>
        <v/>
      </c>
      <c r="V335" s="3" t="str">
        <f>IF(L333="","",COUNTIF($L333:L$364,"Y"))</f>
        <v/>
      </c>
      <c r="W335" t="str">
        <f t="shared" si="45"/>
        <v/>
      </c>
      <c r="X335" t="str">
        <f t="shared" si="40"/>
        <v/>
      </c>
      <c r="Y335" s="14" t="str">
        <f t="shared" si="41"/>
        <v/>
      </c>
      <c r="Z335" s="14" t="str">
        <f t="shared" si="42"/>
        <v/>
      </c>
      <c r="AA335" s="15" t="str">
        <f t="shared" si="43"/>
        <v/>
      </c>
    </row>
    <row r="336" spans="1:27" x14ac:dyDescent="0.25">
      <c r="A336" s="3" t="s">
        <v>581</v>
      </c>
      <c r="B336" s="3" t="s">
        <v>582</v>
      </c>
      <c r="C336" s="3">
        <v>31.814174000000001</v>
      </c>
      <c r="D336" s="3">
        <v>-94.840868</v>
      </c>
      <c r="E336" s="3" t="s">
        <v>585</v>
      </c>
      <c r="F336" s="3" t="s">
        <v>1004</v>
      </c>
      <c r="G336" s="3">
        <v>0</v>
      </c>
      <c r="H336" s="3" t="s">
        <v>1108</v>
      </c>
      <c r="I336" s="45" t="s">
        <v>1109</v>
      </c>
      <c r="J336" s="46" t="s">
        <v>1109</v>
      </c>
      <c r="K336" s="3">
        <v>18</v>
      </c>
      <c r="L336" t="str">
        <f t="shared" si="37"/>
        <v/>
      </c>
      <c r="M336" s="19" t="str">
        <f t="shared" si="38"/>
        <v/>
      </c>
      <c r="N336" s="19">
        <f t="shared" si="46"/>
        <v>45409.458333333336</v>
      </c>
      <c r="O336" s="3" t="str">
        <f t="shared" si="44"/>
        <v/>
      </c>
      <c r="P336" s="54"/>
      <c r="Q336" s="54"/>
      <c r="R336" s="19"/>
      <c r="S336" s="19"/>
      <c r="T336" s="3" t="str">
        <f t="shared" si="39"/>
        <v/>
      </c>
      <c r="U336" s="44" t="str">
        <f t="shared" si="47"/>
        <v/>
      </c>
      <c r="V336" s="3" t="str">
        <f>IF(L334="","",COUNTIF($L334:L$364,"Y"))</f>
        <v/>
      </c>
      <c r="W336" t="str">
        <f t="shared" si="45"/>
        <v/>
      </c>
      <c r="X336" t="str">
        <f t="shared" si="40"/>
        <v/>
      </c>
      <c r="Y336" s="14" t="str">
        <f t="shared" si="41"/>
        <v/>
      </c>
      <c r="Z336" s="14" t="str">
        <f t="shared" si="42"/>
        <v/>
      </c>
      <c r="AA336" s="15" t="str">
        <f t="shared" si="43"/>
        <v/>
      </c>
    </row>
    <row r="337" spans="1:27" x14ac:dyDescent="0.25">
      <c r="A337" s="3" t="s">
        <v>586</v>
      </c>
      <c r="B337" s="3" t="s">
        <v>587</v>
      </c>
      <c r="C337" s="3">
        <v>33.66283</v>
      </c>
      <c r="D337" s="3">
        <v>-95.261736999999997</v>
      </c>
      <c r="E337" s="3" t="s">
        <v>590</v>
      </c>
      <c r="F337" s="3" t="s">
        <v>1005</v>
      </c>
      <c r="G337" s="3">
        <v>0</v>
      </c>
      <c r="H337" s="3" t="s">
        <v>1108</v>
      </c>
      <c r="I337" s="45" t="s">
        <v>1109</v>
      </c>
      <c r="J337" s="46" t="s">
        <v>1109</v>
      </c>
      <c r="K337" s="3">
        <v>19</v>
      </c>
      <c r="L337" t="str">
        <f t="shared" si="37"/>
        <v/>
      </c>
      <c r="M337" s="19" t="str">
        <f t="shared" si="38"/>
        <v/>
      </c>
      <c r="N337" s="19" t="str">
        <f t="shared" si="46"/>
        <v/>
      </c>
      <c r="O337" s="3" t="str">
        <f t="shared" si="44"/>
        <v/>
      </c>
      <c r="P337" s="54"/>
      <c r="Q337" s="54"/>
      <c r="R337" s="19"/>
      <c r="S337" s="19"/>
      <c r="T337" s="3" t="str">
        <f t="shared" si="39"/>
        <v/>
      </c>
      <c r="U337" s="44" t="str">
        <f t="shared" si="47"/>
        <v/>
      </c>
      <c r="V337" s="3" t="str">
        <f>IF(L335="","",COUNTIF($L335:L$364,"Y"))</f>
        <v/>
      </c>
      <c r="W337" t="str">
        <f t="shared" si="45"/>
        <v/>
      </c>
      <c r="X337" t="str">
        <f t="shared" si="40"/>
        <v/>
      </c>
      <c r="Y337" s="14" t="str">
        <f t="shared" si="41"/>
        <v/>
      </c>
      <c r="Z337" s="14" t="str">
        <f t="shared" si="42"/>
        <v/>
      </c>
      <c r="AA337" s="15" t="str">
        <f t="shared" si="43"/>
        <v/>
      </c>
    </row>
    <row r="338" spans="1:27" x14ac:dyDescent="0.25">
      <c r="A338" s="3" t="s">
        <v>591</v>
      </c>
      <c r="B338" s="3" t="s">
        <v>592</v>
      </c>
      <c r="C338" s="3">
        <v>29.904779000000001</v>
      </c>
      <c r="D338" s="3">
        <v>-96.675456999999994</v>
      </c>
      <c r="E338" s="3" t="s">
        <v>595</v>
      </c>
      <c r="F338" s="3" t="s">
        <v>1006</v>
      </c>
      <c r="G338" s="3">
        <v>0</v>
      </c>
      <c r="H338" s="3" t="s">
        <v>1108</v>
      </c>
      <c r="I338" s="45" t="s">
        <v>1109</v>
      </c>
      <c r="J338" s="46" t="s">
        <v>1109</v>
      </c>
      <c r="K338" s="3">
        <v>20</v>
      </c>
      <c r="L338" t="str">
        <f t="shared" si="37"/>
        <v/>
      </c>
      <c r="M338" s="19" t="str">
        <f t="shared" si="38"/>
        <v/>
      </c>
      <c r="N338" s="19" t="str">
        <f t="shared" si="46"/>
        <v/>
      </c>
      <c r="O338" s="3" t="str">
        <f t="shared" si="44"/>
        <v/>
      </c>
      <c r="P338" s="54"/>
      <c r="Q338" s="54"/>
      <c r="R338" s="19"/>
      <c r="S338" s="19"/>
      <c r="T338" s="3" t="str">
        <f t="shared" si="39"/>
        <v/>
      </c>
      <c r="U338" s="44" t="str">
        <f t="shared" si="47"/>
        <v/>
      </c>
      <c r="V338" s="3" t="str">
        <f>IF(L336="","",COUNTIF($L336:L$364,"Y"))</f>
        <v/>
      </c>
      <c r="W338" t="str">
        <f t="shared" si="45"/>
        <v/>
      </c>
      <c r="X338" t="str">
        <f t="shared" si="40"/>
        <v/>
      </c>
      <c r="Y338" s="14" t="str">
        <f t="shared" si="41"/>
        <v/>
      </c>
      <c r="Z338" s="14" t="str">
        <f t="shared" si="42"/>
        <v/>
      </c>
      <c r="AA338" s="15" t="str">
        <f t="shared" si="43"/>
        <v/>
      </c>
    </row>
    <row r="339" spans="1:27" x14ac:dyDescent="0.25">
      <c r="A339" s="3" t="s">
        <v>596</v>
      </c>
      <c r="B339" s="3" t="s">
        <v>597</v>
      </c>
      <c r="C339" s="3">
        <v>30.877248000000002</v>
      </c>
      <c r="D339" s="3">
        <v>-96.592425000000006</v>
      </c>
      <c r="E339" s="3" t="s">
        <v>600</v>
      </c>
      <c r="F339" s="3" t="s">
        <v>1007</v>
      </c>
      <c r="G339" s="3">
        <v>0</v>
      </c>
      <c r="H339" s="3" t="s">
        <v>1108</v>
      </c>
      <c r="I339" s="45" t="s">
        <v>1109</v>
      </c>
      <c r="J339" s="46" t="s">
        <v>1109</v>
      </c>
      <c r="K339" s="3">
        <v>21</v>
      </c>
      <c r="L339" t="str">
        <f t="shared" si="37"/>
        <v/>
      </c>
      <c r="M339" s="19" t="str">
        <f t="shared" si="38"/>
        <v/>
      </c>
      <c r="N339" s="19" t="str">
        <f t="shared" si="46"/>
        <v/>
      </c>
      <c r="O339" s="3" t="str">
        <f t="shared" si="44"/>
        <v/>
      </c>
      <c r="P339" s="54"/>
      <c r="Q339" s="54"/>
      <c r="R339" s="19"/>
      <c r="S339" s="19"/>
      <c r="T339" s="3" t="str">
        <f t="shared" si="39"/>
        <v/>
      </c>
      <c r="U339" s="44" t="str">
        <f t="shared" si="47"/>
        <v/>
      </c>
      <c r="V339" s="3" t="str">
        <f>IF(L337="","",COUNTIF($L337:L$364,"Y"))</f>
        <v/>
      </c>
      <c r="W339" t="str">
        <f t="shared" si="45"/>
        <v/>
      </c>
      <c r="X339" t="str">
        <f t="shared" si="40"/>
        <v/>
      </c>
      <c r="Y339" s="14" t="str">
        <f t="shared" si="41"/>
        <v/>
      </c>
      <c r="Z339" s="14" t="str">
        <f t="shared" si="42"/>
        <v/>
      </c>
      <c r="AA339" s="15" t="str">
        <f t="shared" si="43"/>
        <v/>
      </c>
    </row>
    <row r="340" spans="1:27" x14ac:dyDescent="0.25">
      <c r="A340" s="3" t="s">
        <v>601</v>
      </c>
      <c r="B340" s="3" t="s">
        <v>602</v>
      </c>
      <c r="C340" s="3">
        <v>31.983004000000001</v>
      </c>
      <c r="D340" s="3">
        <v>-98.032928999999996</v>
      </c>
      <c r="E340" s="3" t="s">
        <v>605</v>
      </c>
      <c r="F340" s="3" t="s">
        <v>1008</v>
      </c>
      <c r="G340" s="3">
        <v>0</v>
      </c>
      <c r="H340" s="3" t="s">
        <v>1108</v>
      </c>
      <c r="I340" s="45" t="s">
        <v>1109</v>
      </c>
      <c r="J340" s="46" t="s">
        <v>1109</v>
      </c>
      <c r="K340" s="3">
        <v>22</v>
      </c>
      <c r="L340" t="str">
        <f t="shared" si="37"/>
        <v/>
      </c>
      <c r="M340" s="19" t="str">
        <f t="shared" si="38"/>
        <v/>
      </c>
      <c r="N340" s="19" t="str">
        <f t="shared" si="46"/>
        <v/>
      </c>
      <c r="O340" s="3" t="str">
        <f t="shared" si="44"/>
        <v/>
      </c>
      <c r="P340" s="54"/>
      <c r="Q340" s="54"/>
      <c r="R340" s="19"/>
      <c r="S340" s="19"/>
      <c r="T340" s="3" t="str">
        <f t="shared" si="39"/>
        <v/>
      </c>
      <c r="U340" s="44" t="str">
        <f t="shared" si="47"/>
        <v/>
      </c>
      <c r="V340" s="3" t="str">
        <f>IF(L338="","",COUNTIF($L338:L$364,"Y"))</f>
        <v/>
      </c>
      <c r="W340" t="str">
        <f t="shared" si="45"/>
        <v/>
      </c>
      <c r="X340" t="str">
        <f t="shared" si="40"/>
        <v/>
      </c>
      <c r="Y340" s="14" t="str">
        <f t="shared" si="41"/>
        <v/>
      </c>
      <c r="Z340" s="14" t="str">
        <f t="shared" si="42"/>
        <v/>
      </c>
      <c r="AA340" s="15" t="str">
        <f t="shared" si="43"/>
        <v/>
      </c>
    </row>
    <row r="341" spans="1:27" x14ac:dyDescent="0.25">
      <c r="A341" s="3" t="s">
        <v>606</v>
      </c>
      <c r="B341" s="3" t="s">
        <v>607</v>
      </c>
      <c r="C341" s="3">
        <v>30.544397</v>
      </c>
      <c r="D341" s="3">
        <v>-97.547694000000007</v>
      </c>
      <c r="E341" s="3" t="s">
        <v>610</v>
      </c>
      <c r="F341" s="3" t="s">
        <v>1009</v>
      </c>
      <c r="G341" s="3">
        <v>0</v>
      </c>
      <c r="H341" s="3" t="s">
        <v>1108</v>
      </c>
      <c r="I341" s="45" t="s">
        <v>1109</v>
      </c>
      <c r="J341" s="46" t="s">
        <v>1109</v>
      </c>
      <c r="K341" s="3">
        <v>23</v>
      </c>
      <c r="L341" t="str">
        <f t="shared" si="37"/>
        <v/>
      </c>
      <c r="M341" s="19" t="str">
        <f t="shared" si="38"/>
        <v/>
      </c>
      <c r="N341" s="19" t="str">
        <f t="shared" si="46"/>
        <v/>
      </c>
      <c r="O341" s="3" t="str">
        <f t="shared" si="44"/>
        <v/>
      </c>
      <c r="P341" s="54"/>
      <c r="Q341" s="54"/>
      <c r="R341" s="19"/>
      <c r="S341" s="19"/>
      <c r="T341" s="3" t="str">
        <f t="shared" si="39"/>
        <v/>
      </c>
      <c r="U341" s="44" t="str">
        <f t="shared" si="47"/>
        <v/>
      </c>
      <c r="V341" s="3" t="str">
        <f>IF(L339="","",COUNTIF($L339:L$364,"Y"))</f>
        <v/>
      </c>
      <c r="W341" t="str">
        <f t="shared" si="45"/>
        <v/>
      </c>
      <c r="X341" t="str">
        <f t="shared" si="40"/>
        <v/>
      </c>
      <c r="Y341" s="14" t="str">
        <f t="shared" si="41"/>
        <v/>
      </c>
      <c r="Z341" s="14" t="str">
        <f t="shared" si="42"/>
        <v/>
      </c>
      <c r="AA341" s="15" t="str">
        <f t="shared" si="43"/>
        <v/>
      </c>
    </row>
    <row r="342" spans="1:27" x14ac:dyDescent="0.25">
      <c r="A342" s="3" t="s">
        <v>611</v>
      </c>
      <c r="B342" s="3" t="s">
        <v>612</v>
      </c>
      <c r="C342" s="3">
        <v>32.866056999999998</v>
      </c>
      <c r="D342" s="3">
        <v>-96.944655999999995</v>
      </c>
      <c r="E342" s="3" t="s">
        <v>615</v>
      </c>
      <c r="F342" s="3" t="s">
        <v>1010</v>
      </c>
      <c r="G342" s="3">
        <v>1000</v>
      </c>
      <c r="H342" s="3" t="s">
        <v>1108</v>
      </c>
      <c r="I342" s="45" t="s">
        <v>1109</v>
      </c>
      <c r="J342" s="46" t="s">
        <v>1109</v>
      </c>
      <c r="K342" s="3">
        <v>24</v>
      </c>
      <c r="L342" t="str">
        <f t="shared" si="37"/>
        <v/>
      </c>
      <c r="M342" s="19" t="str">
        <f t="shared" si="38"/>
        <v/>
      </c>
      <c r="N342" s="19" t="str">
        <f t="shared" si="46"/>
        <v/>
      </c>
      <c r="O342" s="3" t="str">
        <f t="shared" si="44"/>
        <v/>
      </c>
      <c r="P342" s="54"/>
      <c r="Q342" s="54"/>
      <c r="R342" s="19"/>
      <c r="S342" s="19"/>
      <c r="T342" s="3" t="str">
        <f t="shared" si="39"/>
        <v/>
      </c>
      <c r="U342" s="44" t="str">
        <f t="shared" si="47"/>
        <v/>
      </c>
      <c r="V342" s="3" t="str">
        <f>IF(L340="","",COUNTIF($L340:L$364,"Y"))</f>
        <v/>
      </c>
      <c r="W342" t="str">
        <f t="shared" si="45"/>
        <v/>
      </c>
      <c r="X342" t="str">
        <f t="shared" si="40"/>
        <v/>
      </c>
      <c r="Y342" s="14" t="str">
        <f t="shared" si="41"/>
        <v/>
      </c>
      <c r="Z342" s="14" t="str">
        <f t="shared" si="42"/>
        <v/>
      </c>
      <c r="AA342" s="15" t="str">
        <f t="shared" si="43"/>
        <v/>
      </c>
    </row>
    <row r="343" spans="1:27" x14ac:dyDescent="0.25">
      <c r="A343" s="3" t="s">
        <v>616</v>
      </c>
      <c r="B343" s="3" t="s">
        <v>617</v>
      </c>
      <c r="C343" s="3">
        <v>30.491035</v>
      </c>
      <c r="D343" s="3">
        <v>-99.776831999999999</v>
      </c>
      <c r="E343" s="3" t="s">
        <v>620</v>
      </c>
      <c r="F343" s="3" t="s">
        <v>1011</v>
      </c>
      <c r="G343" s="3">
        <v>0</v>
      </c>
      <c r="H343" s="3" t="s">
        <v>1108</v>
      </c>
      <c r="I343" s="45" t="s">
        <v>1109</v>
      </c>
      <c r="J343" s="46" t="s">
        <v>1109</v>
      </c>
      <c r="K343" s="3">
        <v>25</v>
      </c>
      <c r="L343" t="str">
        <f t="shared" si="37"/>
        <v/>
      </c>
      <c r="M343" s="19" t="str">
        <f t="shared" si="38"/>
        <v/>
      </c>
      <c r="N343" s="19" t="str">
        <f t="shared" si="46"/>
        <v/>
      </c>
      <c r="O343" s="3" t="str">
        <f t="shared" si="44"/>
        <v/>
      </c>
      <c r="P343" s="54"/>
      <c r="Q343" s="54"/>
      <c r="R343" s="19"/>
      <c r="S343" s="19"/>
      <c r="T343" s="3" t="str">
        <f t="shared" si="39"/>
        <v/>
      </c>
      <c r="U343" s="44" t="str">
        <f t="shared" si="47"/>
        <v/>
      </c>
      <c r="V343" s="3" t="str">
        <f>IF(L341="","",COUNTIF($L341:L$364,"Y"))</f>
        <v/>
      </c>
      <c r="W343" t="str">
        <f t="shared" si="45"/>
        <v/>
      </c>
      <c r="X343" t="str">
        <f t="shared" si="40"/>
        <v/>
      </c>
      <c r="Y343" s="14" t="str">
        <f t="shared" si="41"/>
        <v/>
      </c>
      <c r="Z343" s="14" t="str">
        <f t="shared" si="42"/>
        <v/>
      </c>
      <c r="AA343" s="15" t="str">
        <f t="shared" si="43"/>
        <v/>
      </c>
    </row>
    <row r="344" spans="1:27" x14ac:dyDescent="0.25">
      <c r="A344" s="3" t="s">
        <v>621</v>
      </c>
      <c r="B344" s="3" t="s">
        <v>622</v>
      </c>
      <c r="C344" s="3">
        <v>30.759287</v>
      </c>
      <c r="D344" s="3">
        <v>-98.682086999999996</v>
      </c>
      <c r="E344" s="3" t="s">
        <v>625</v>
      </c>
      <c r="F344" s="3" t="s">
        <v>1012</v>
      </c>
      <c r="G344" s="3">
        <v>0</v>
      </c>
      <c r="H344" s="3" t="s">
        <v>1108</v>
      </c>
      <c r="I344" s="45" t="s">
        <v>1109</v>
      </c>
      <c r="J344" s="46" t="s">
        <v>1109</v>
      </c>
      <c r="K344" s="3">
        <v>26</v>
      </c>
      <c r="L344" t="str">
        <f t="shared" si="37"/>
        <v/>
      </c>
      <c r="M344" s="19" t="str">
        <f t="shared" si="38"/>
        <v/>
      </c>
      <c r="N344" s="19" t="str">
        <f t="shared" si="46"/>
        <v/>
      </c>
      <c r="O344" s="3" t="str">
        <f t="shared" si="44"/>
        <v/>
      </c>
      <c r="P344" s="54"/>
      <c r="Q344" s="54"/>
      <c r="R344" s="19"/>
      <c r="S344" s="19"/>
      <c r="T344" s="3" t="str">
        <f t="shared" si="39"/>
        <v/>
      </c>
      <c r="U344" s="44" t="str">
        <f t="shared" si="47"/>
        <v/>
      </c>
      <c r="V344" s="3" t="str">
        <f>IF(L342="","",COUNTIF($L342:L$364,"Y"))</f>
        <v/>
      </c>
      <c r="W344" t="str">
        <f t="shared" si="45"/>
        <v/>
      </c>
      <c r="X344" t="str">
        <f t="shared" si="40"/>
        <v/>
      </c>
      <c r="Y344" s="14" t="str">
        <f t="shared" si="41"/>
        <v/>
      </c>
      <c r="Z344" s="14" t="str">
        <f t="shared" si="42"/>
        <v/>
      </c>
      <c r="AA344" s="15" t="str">
        <f t="shared" si="43"/>
        <v/>
      </c>
    </row>
    <row r="345" spans="1:27" x14ac:dyDescent="0.25">
      <c r="A345" s="3" t="s">
        <v>626</v>
      </c>
      <c r="B345" s="3" t="s">
        <v>627</v>
      </c>
      <c r="C345" s="3">
        <v>32.941189999999999</v>
      </c>
      <c r="D345" s="3">
        <v>-94.711365999999998</v>
      </c>
      <c r="E345" s="3" t="s">
        <v>630</v>
      </c>
      <c r="F345" s="3" t="s">
        <v>1013</v>
      </c>
      <c r="G345" s="3">
        <v>2000</v>
      </c>
      <c r="H345" s="3" t="s">
        <v>1108</v>
      </c>
      <c r="I345" s="45" t="s">
        <v>1109</v>
      </c>
      <c r="J345" s="46" t="s">
        <v>1109</v>
      </c>
      <c r="K345" s="3">
        <v>27</v>
      </c>
      <c r="L345" t="str">
        <f t="shared" si="37"/>
        <v/>
      </c>
      <c r="M345" s="19" t="str">
        <f t="shared" si="38"/>
        <v/>
      </c>
      <c r="N345" s="19" t="str">
        <f t="shared" si="46"/>
        <v/>
      </c>
      <c r="O345" s="3" t="str">
        <f t="shared" si="44"/>
        <v/>
      </c>
      <c r="P345" s="54"/>
      <c r="Q345" s="54"/>
      <c r="R345" s="19"/>
      <c r="S345" s="19"/>
      <c r="T345" s="3" t="str">
        <f t="shared" si="39"/>
        <v/>
      </c>
      <c r="U345" s="44" t="str">
        <f t="shared" si="47"/>
        <v/>
      </c>
      <c r="V345" s="3" t="str">
        <f>IF(L343="","",COUNTIF($L343:L$364,"Y"))</f>
        <v/>
      </c>
      <c r="W345" t="str">
        <f t="shared" si="45"/>
        <v/>
      </c>
      <c r="X345" t="str">
        <f t="shared" si="40"/>
        <v/>
      </c>
      <c r="Y345" s="14" t="str">
        <f t="shared" si="41"/>
        <v/>
      </c>
      <c r="Z345" s="14" t="str">
        <f t="shared" si="42"/>
        <v/>
      </c>
      <c r="AA345" s="15" t="str">
        <f t="shared" si="43"/>
        <v/>
      </c>
    </row>
    <row r="346" spans="1:27" x14ac:dyDescent="0.25">
      <c r="A346" s="3" t="s">
        <v>631</v>
      </c>
      <c r="B346" s="3" t="s">
        <v>632</v>
      </c>
      <c r="C346" s="3">
        <v>30.570785000000001</v>
      </c>
      <c r="D346" s="3">
        <v>-98.275980000000004</v>
      </c>
      <c r="E346" s="3" t="s">
        <v>635</v>
      </c>
      <c r="F346" s="3" t="s">
        <v>1014</v>
      </c>
      <c r="G346" s="3">
        <v>0</v>
      </c>
      <c r="H346" s="3" t="s">
        <v>1108</v>
      </c>
      <c r="I346" s="45" t="s">
        <v>1109</v>
      </c>
      <c r="J346" s="46" t="s">
        <v>1109</v>
      </c>
      <c r="K346" s="3">
        <v>28</v>
      </c>
      <c r="L346" t="str">
        <f t="shared" si="37"/>
        <v/>
      </c>
      <c r="M346" s="19" t="str">
        <f t="shared" si="38"/>
        <v/>
      </c>
      <c r="N346" s="19" t="str">
        <f t="shared" si="46"/>
        <v/>
      </c>
      <c r="O346" s="3" t="str">
        <f t="shared" si="44"/>
        <v/>
      </c>
      <c r="P346" s="54"/>
      <c r="Q346" s="54"/>
      <c r="R346" s="19"/>
      <c r="S346" s="19"/>
      <c r="T346" s="3" t="str">
        <f t="shared" si="39"/>
        <v/>
      </c>
      <c r="U346" s="44" t="str">
        <f t="shared" si="47"/>
        <v/>
      </c>
      <c r="V346" s="3" t="str">
        <f>IF(L344="","",COUNTIF($L344:L$364,"Y"))</f>
        <v/>
      </c>
      <c r="W346" t="str">
        <f t="shared" si="45"/>
        <v/>
      </c>
      <c r="X346" t="str">
        <f t="shared" si="40"/>
        <v/>
      </c>
      <c r="Y346" s="14" t="str">
        <f t="shared" si="41"/>
        <v/>
      </c>
      <c r="Z346" s="14" t="str">
        <f t="shared" si="42"/>
        <v/>
      </c>
      <c r="AA346" s="15" t="str">
        <f t="shared" si="43"/>
        <v/>
      </c>
    </row>
    <row r="347" spans="1:27" x14ac:dyDescent="0.25">
      <c r="A347" s="3" t="s">
        <v>636</v>
      </c>
      <c r="B347" s="3" t="s">
        <v>637</v>
      </c>
      <c r="C347" s="3">
        <v>32.508099000000001</v>
      </c>
      <c r="D347" s="3">
        <v>-98.417034000000001</v>
      </c>
      <c r="E347" s="3" t="s">
        <v>640</v>
      </c>
      <c r="F347" s="3" t="s">
        <v>1015</v>
      </c>
      <c r="G347" s="3">
        <v>2000</v>
      </c>
      <c r="H347" s="3" t="s">
        <v>1108</v>
      </c>
      <c r="I347" s="45" t="s">
        <v>1109</v>
      </c>
      <c r="J347" s="46" t="s">
        <v>1109</v>
      </c>
      <c r="K347" s="3">
        <v>29</v>
      </c>
      <c r="L347" t="str">
        <f t="shared" si="37"/>
        <v/>
      </c>
      <c r="M347" s="19" t="str">
        <f t="shared" si="38"/>
        <v/>
      </c>
      <c r="N347" s="19" t="str">
        <f t="shared" si="46"/>
        <v/>
      </c>
      <c r="O347" s="3" t="str">
        <f t="shared" si="44"/>
        <v/>
      </c>
      <c r="P347" s="54"/>
      <c r="Q347" s="54"/>
      <c r="R347" s="19"/>
      <c r="S347" s="19"/>
      <c r="T347" s="3" t="str">
        <f t="shared" si="39"/>
        <v/>
      </c>
      <c r="U347" s="44" t="str">
        <f t="shared" si="47"/>
        <v/>
      </c>
      <c r="V347" s="3" t="str">
        <f>IF(L345="","",COUNTIF($L345:L$364,"Y"))</f>
        <v/>
      </c>
      <c r="W347" t="str">
        <f t="shared" si="45"/>
        <v/>
      </c>
      <c r="X347" t="str">
        <f t="shared" si="40"/>
        <v/>
      </c>
      <c r="Y347" s="14" t="str">
        <f t="shared" si="41"/>
        <v/>
      </c>
      <c r="Z347" s="14" t="str">
        <f t="shared" si="42"/>
        <v/>
      </c>
      <c r="AA347" s="15" t="str">
        <f t="shared" si="43"/>
        <v/>
      </c>
    </row>
    <row r="348" spans="1:27" x14ac:dyDescent="0.25">
      <c r="A348" s="3" t="s">
        <v>641</v>
      </c>
      <c r="B348" s="3" t="s">
        <v>642</v>
      </c>
      <c r="C348" s="3">
        <v>29.494329</v>
      </c>
      <c r="D348" s="3">
        <v>-94.919730999999999</v>
      </c>
      <c r="E348" s="3" t="s">
        <v>645</v>
      </c>
      <c r="F348" s="3" t="s">
        <v>1016</v>
      </c>
      <c r="G348" s="3">
        <v>0</v>
      </c>
      <c r="H348" s="3" t="s">
        <v>1108</v>
      </c>
      <c r="I348" s="45" t="s">
        <v>1109</v>
      </c>
      <c r="J348" s="46" t="s">
        <v>1109</v>
      </c>
      <c r="K348" s="3">
        <v>30</v>
      </c>
      <c r="L348" t="str">
        <f t="shared" si="37"/>
        <v/>
      </c>
      <c r="M348" s="19" t="str">
        <f t="shared" si="38"/>
        <v/>
      </c>
      <c r="N348" s="19" t="str">
        <f t="shared" si="46"/>
        <v/>
      </c>
      <c r="O348" s="3" t="str">
        <f t="shared" si="44"/>
        <v/>
      </c>
      <c r="P348" s="54"/>
      <c r="Q348" s="54"/>
      <c r="R348" s="19"/>
      <c r="S348" s="19"/>
      <c r="T348" s="3" t="str">
        <f t="shared" si="39"/>
        <v/>
      </c>
      <c r="U348" s="44" t="str">
        <f t="shared" si="47"/>
        <v/>
      </c>
      <c r="V348" s="3" t="str">
        <f>IF(L346="","",COUNTIF($L346:L$364,"Y"))</f>
        <v/>
      </c>
      <c r="W348" t="str">
        <f t="shared" si="45"/>
        <v/>
      </c>
      <c r="X348" t="str">
        <f t="shared" si="40"/>
        <v/>
      </c>
      <c r="Y348" s="14" t="str">
        <f t="shared" si="41"/>
        <v/>
      </c>
      <c r="Z348" s="14" t="str">
        <f t="shared" si="42"/>
        <v/>
      </c>
      <c r="AA348" s="15" t="str">
        <f t="shared" si="43"/>
        <v/>
      </c>
    </row>
    <row r="349" spans="1:27" x14ac:dyDescent="0.25">
      <c r="A349" s="3" t="s">
        <v>646</v>
      </c>
      <c r="B349" s="3" t="s">
        <v>647</v>
      </c>
      <c r="C349" s="3">
        <v>32.206457999999998</v>
      </c>
      <c r="D349" s="3">
        <v>-95.848016999999999</v>
      </c>
      <c r="E349" s="3" t="s">
        <v>650</v>
      </c>
      <c r="F349" s="3" t="s">
        <v>1017</v>
      </c>
      <c r="G349" s="3">
        <v>0</v>
      </c>
      <c r="H349" s="3" t="s">
        <v>1108</v>
      </c>
      <c r="I349" s="45" t="s">
        <v>1109</v>
      </c>
      <c r="J349" s="46" t="s">
        <v>1109</v>
      </c>
      <c r="K349" s="3">
        <v>31</v>
      </c>
      <c r="L349" t="str">
        <f t="shared" si="37"/>
        <v/>
      </c>
      <c r="M349" s="19" t="str">
        <f t="shared" si="38"/>
        <v/>
      </c>
      <c r="N349" s="19" t="str">
        <f t="shared" si="46"/>
        <v/>
      </c>
      <c r="O349" s="3" t="str">
        <f t="shared" si="44"/>
        <v/>
      </c>
      <c r="P349" s="54"/>
      <c r="Q349" s="54"/>
      <c r="R349" s="19"/>
      <c r="S349" s="19"/>
      <c r="T349" s="3" t="str">
        <f t="shared" si="39"/>
        <v/>
      </c>
      <c r="U349" s="44" t="str">
        <f t="shared" si="47"/>
        <v/>
      </c>
      <c r="V349" s="3" t="str">
        <f>IF(L347="","",COUNTIF($L347:L$364,"Y"))</f>
        <v/>
      </c>
      <c r="W349" t="str">
        <f t="shared" si="45"/>
        <v/>
      </c>
      <c r="X349" t="str">
        <f t="shared" si="40"/>
        <v/>
      </c>
      <c r="Y349" s="14" t="str">
        <f t="shared" si="41"/>
        <v/>
      </c>
      <c r="Z349" s="14" t="str">
        <f t="shared" si="42"/>
        <v/>
      </c>
      <c r="AA349" s="15" t="str">
        <f t="shared" si="43"/>
        <v/>
      </c>
    </row>
    <row r="350" spans="1:27" x14ac:dyDescent="0.25">
      <c r="A350" s="3" t="s">
        <v>651</v>
      </c>
      <c r="B350" s="3" t="s">
        <v>652</v>
      </c>
      <c r="C350" s="3">
        <v>29.286715999999998</v>
      </c>
      <c r="D350" s="3">
        <v>-97.151554000000004</v>
      </c>
      <c r="E350" s="3" t="s">
        <v>655</v>
      </c>
      <c r="F350" s="3" t="s">
        <v>1018</v>
      </c>
      <c r="G350" s="3">
        <v>0</v>
      </c>
      <c r="H350" s="3" t="s">
        <v>1108</v>
      </c>
      <c r="I350" s="45" t="s">
        <v>1109</v>
      </c>
      <c r="J350" s="46" t="s">
        <v>1109</v>
      </c>
      <c r="K350" s="3">
        <v>32</v>
      </c>
      <c r="L350" t="str">
        <f t="shared" si="37"/>
        <v/>
      </c>
      <c r="M350" s="19" t="str">
        <f t="shared" si="38"/>
        <v/>
      </c>
      <c r="N350" s="19" t="str">
        <f t="shared" si="46"/>
        <v/>
      </c>
      <c r="O350" s="3" t="str">
        <f t="shared" si="44"/>
        <v/>
      </c>
      <c r="P350" s="54"/>
      <c r="Q350" s="54"/>
      <c r="R350" s="19"/>
      <c r="S350" s="19"/>
      <c r="T350" s="3" t="str">
        <f t="shared" si="39"/>
        <v/>
      </c>
      <c r="U350" s="44" t="str">
        <f t="shared" si="47"/>
        <v/>
      </c>
      <c r="V350" s="3" t="str">
        <f>IF(L348="","",COUNTIF($L348:L$364,"Y"))</f>
        <v/>
      </c>
      <c r="W350" t="str">
        <f t="shared" si="45"/>
        <v/>
      </c>
      <c r="X350" t="str">
        <f t="shared" si="40"/>
        <v/>
      </c>
      <c r="Y350" s="14" t="str">
        <f t="shared" si="41"/>
        <v/>
      </c>
      <c r="Z350" s="14" t="str">
        <f t="shared" si="42"/>
        <v/>
      </c>
      <c r="AA350" s="15" t="str">
        <f t="shared" si="43"/>
        <v/>
      </c>
    </row>
    <row r="351" spans="1:27" x14ac:dyDescent="0.25">
      <c r="A351" s="3" t="s">
        <v>656</v>
      </c>
      <c r="B351" s="3" t="s">
        <v>657</v>
      </c>
      <c r="C351" s="3">
        <v>33.661082999999998</v>
      </c>
      <c r="D351" s="3">
        <v>-95.385845000000003</v>
      </c>
      <c r="E351" s="3" t="s">
        <v>660</v>
      </c>
      <c r="F351" s="3" t="s">
        <v>1019</v>
      </c>
      <c r="G351" s="3">
        <v>0</v>
      </c>
      <c r="H351" s="3" t="s">
        <v>1108</v>
      </c>
      <c r="I351" s="45" t="s">
        <v>1109</v>
      </c>
      <c r="J351" s="46" t="s">
        <v>1109</v>
      </c>
      <c r="K351" s="3">
        <v>33</v>
      </c>
      <c r="L351" t="str">
        <f t="shared" ref="L351:L382" si="48">IF(COUNTIF($F$21:$F$135,A351)&gt;0,"Y","")</f>
        <v/>
      </c>
      <c r="M351" s="19" t="str">
        <f t="shared" ref="M351:M382" si="49">IF(R351="","",R351)</f>
        <v/>
      </c>
      <c r="N351" s="19" t="str">
        <f t="shared" si="46"/>
        <v/>
      </c>
      <c r="O351" s="3" t="str">
        <f t="shared" si="44"/>
        <v/>
      </c>
      <c r="P351" s="54"/>
      <c r="Q351" s="54"/>
      <c r="R351" s="19"/>
      <c r="S351" s="19"/>
      <c r="T351" s="3" t="str">
        <f t="shared" ref="T351:T382" si="50">IF(L351="","",(S351-R351)*60*24)</f>
        <v/>
      </c>
      <c r="U351" s="44" t="str">
        <f t="shared" si="47"/>
        <v/>
      </c>
      <c r="V351" s="3" t="str">
        <f>IF(L349="","",COUNTIF($L349:L$364,"Y"))</f>
        <v/>
      </c>
      <c r="W351" t="str">
        <f t="shared" si="45"/>
        <v/>
      </c>
      <c r="X351" t="str">
        <f t="shared" ref="X351:X382" si="51">IF(L351="Y",O353,"")</f>
        <v/>
      </c>
      <c r="Y351" s="14" t="str">
        <f t="shared" ref="Y351:Y382" si="52">IF(L351="Y",R351,"")</f>
        <v/>
      </c>
      <c r="Z351" s="14" t="str">
        <f t="shared" ref="Z351:Z382" si="53">IF(L351="Y",S351,"")</f>
        <v/>
      </c>
      <c r="AA351" s="15" t="str">
        <f t="shared" si="43"/>
        <v/>
      </c>
    </row>
    <row r="352" spans="1:27" x14ac:dyDescent="0.25">
      <c r="A352" s="3" t="s">
        <v>661</v>
      </c>
      <c r="B352" s="3" t="s">
        <v>662</v>
      </c>
      <c r="C352" s="3">
        <v>31.118425999999999</v>
      </c>
      <c r="D352" s="3">
        <v>-99.335322000000005</v>
      </c>
      <c r="E352" s="3" t="s">
        <v>665</v>
      </c>
      <c r="F352" s="3" t="s">
        <v>1020</v>
      </c>
      <c r="G352" s="3">
        <v>0</v>
      </c>
      <c r="H352" s="3" t="s">
        <v>1108</v>
      </c>
      <c r="I352" s="45" t="s">
        <v>1109</v>
      </c>
      <c r="J352" s="46" t="s">
        <v>1109</v>
      </c>
      <c r="K352" s="3">
        <v>34</v>
      </c>
      <c r="L352" t="str">
        <f t="shared" si="48"/>
        <v/>
      </c>
      <c r="M352" s="19" t="str">
        <f t="shared" si="49"/>
        <v/>
      </c>
      <c r="N352" s="19" t="str">
        <f t="shared" si="46"/>
        <v/>
      </c>
      <c r="O352" s="3" t="str">
        <f t="shared" si="44"/>
        <v/>
      </c>
      <c r="P352" s="54"/>
      <c r="Q352" s="54"/>
      <c r="R352" s="19"/>
      <c r="S352" s="19"/>
      <c r="T352" s="3" t="str">
        <f t="shared" si="50"/>
        <v/>
      </c>
      <c r="U352" s="44" t="str">
        <f t="shared" si="47"/>
        <v/>
      </c>
      <c r="V352" s="3" t="str">
        <f>IF(L350="","",COUNTIF($L350:L$364,"Y"))</f>
        <v/>
      </c>
      <c r="W352" t="str">
        <f t="shared" si="45"/>
        <v/>
      </c>
      <c r="X352" t="str">
        <f t="shared" si="51"/>
        <v/>
      </c>
      <c r="Y352" s="14" t="str">
        <f t="shared" si="52"/>
        <v/>
      </c>
      <c r="Z352" s="14" t="str">
        <f t="shared" si="53"/>
        <v/>
      </c>
      <c r="AA352" s="15" t="str">
        <f t="shared" si="43"/>
        <v/>
      </c>
    </row>
    <row r="353" spans="1:27" x14ac:dyDescent="0.25">
      <c r="A353" s="3" t="s">
        <v>666</v>
      </c>
      <c r="B353" s="3" t="s">
        <v>667</v>
      </c>
      <c r="C353" s="3">
        <v>31.728138999999999</v>
      </c>
      <c r="D353" s="3">
        <v>-98.983171999999996</v>
      </c>
      <c r="E353" s="3" t="s">
        <v>670</v>
      </c>
      <c r="F353" s="3" t="s">
        <v>1021</v>
      </c>
      <c r="G353" s="3">
        <v>0</v>
      </c>
      <c r="H353" s="3" t="s">
        <v>1108</v>
      </c>
      <c r="I353" s="45" t="s">
        <v>1109</v>
      </c>
      <c r="J353" s="46" t="s">
        <v>1109</v>
      </c>
      <c r="K353" s="3">
        <v>35</v>
      </c>
      <c r="L353" t="str">
        <f t="shared" si="48"/>
        <v/>
      </c>
      <c r="M353" s="19" t="str">
        <f t="shared" si="49"/>
        <v/>
      </c>
      <c r="N353" s="19" t="str">
        <f t="shared" si="46"/>
        <v/>
      </c>
      <c r="O353" s="3" t="str">
        <f t="shared" ref="O353:O384" si="54">IF(L351="Y",G351,"")</f>
        <v/>
      </c>
      <c r="P353" s="54"/>
      <c r="Q353" s="54"/>
      <c r="R353" s="19"/>
      <c r="S353" s="19"/>
      <c r="T353" s="3" t="str">
        <f t="shared" si="50"/>
        <v/>
      </c>
      <c r="U353" s="44" t="str">
        <f t="shared" si="47"/>
        <v/>
      </c>
      <c r="V353" s="3" t="str">
        <f>IF(L351="","",COUNTIF($L351:L$364,"Y"))</f>
        <v/>
      </c>
      <c r="W353" t="str">
        <f t="shared" ref="W353:W384" si="55">IF(L351="Y",A351,"")</f>
        <v/>
      </c>
      <c r="X353" t="str">
        <f t="shared" si="51"/>
        <v/>
      </c>
      <c r="Y353" s="14" t="str">
        <f t="shared" si="52"/>
        <v/>
      </c>
      <c r="Z353" s="14" t="str">
        <f t="shared" si="53"/>
        <v/>
      </c>
      <c r="AA353" s="15" t="str">
        <f t="shared" si="43"/>
        <v/>
      </c>
    </row>
    <row r="354" spans="1:27" x14ac:dyDescent="0.25">
      <c r="A354" s="3" t="s">
        <v>671</v>
      </c>
      <c r="B354" s="3" t="s">
        <v>672</v>
      </c>
      <c r="C354" s="3">
        <v>31.828423999999998</v>
      </c>
      <c r="D354" s="3">
        <v>-99.423199999999994</v>
      </c>
      <c r="E354" s="3" t="s">
        <v>675</v>
      </c>
      <c r="F354" s="3" t="s">
        <v>1022</v>
      </c>
      <c r="G354" s="3">
        <v>0</v>
      </c>
      <c r="H354" s="3" t="s">
        <v>1108</v>
      </c>
      <c r="I354" s="45" t="s">
        <v>1109</v>
      </c>
      <c r="J354" s="46" t="s">
        <v>1109</v>
      </c>
      <c r="K354" s="3">
        <v>36</v>
      </c>
      <c r="L354" t="str">
        <f t="shared" si="48"/>
        <v/>
      </c>
      <c r="M354" s="19" t="str">
        <f t="shared" si="49"/>
        <v/>
      </c>
      <c r="N354" s="19" t="str">
        <f t="shared" si="46"/>
        <v/>
      </c>
      <c r="O354" s="3" t="str">
        <f t="shared" si="54"/>
        <v/>
      </c>
      <c r="P354" s="54"/>
      <c r="Q354" s="54"/>
      <c r="R354" s="19"/>
      <c r="S354" s="19"/>
      <c r="T354" s="3" t="str">
        <f t="shared" si="50"/>
        <v/>
      </c>
      <c r="U354" s="44" t="str">
        <f t="shared" si="47"/>
        <v/>
      </c>
      <c r="V354" s="3" t="str">
        <f>IF(L352="","",COUNTIF($L352:L$364,"Y"))</f>
        <v/>
      </c>
      <c r="W354" t="str">
        <f t="shared" si="55"/>
        <v/>
      </c>
      <c r="X354" t="str">
        <f t="shared" si="51"/>
        <v/>
      </c>
      <c r="Y354" s="14" t="str">
        <f t="shared" si="52"/>
        <v/>
      </c>
      <c r="Z354" s="14" t="str">
        <f t="shared" si="53"/>
        <v/>
      </c>
      <c r="AA354" s="15" t="str">
        <f t="shared" si="43"/>
        <v/>
      </c>
    </row>
    <row r="355" spans="1:27" x14ac:dyDescent="0.25">
      <c r="A355" s="3" t="s">
        <v>676</v>
      </c>
      <c r="B355" s="3" t="s">
        <v>677</v>
      </c>
      <c r="C355" s="3">
        <v>31.307162000000002</v>
      </c>
      <c r="D355" s="3">
        <v>-95.492788000000004</v>
      </c>
      <c r="E355" s="3" t="s">
        <v>680</v>
      </c>
      <c r="F355" s="3" t="s">
        <v>1023</v>
      </c>
      <c r="G355" s="3">
        <v>0</v>
      </c>
      <c r="H355" s="3" t="s">
        <v>1108</v>
      </c>
      <c r="I355" s="45" t="s">
        <v>1109</v>
      </c>
      <c r="J355" s="46" t="s">
        <v>1109</v>
      </c>
      <c r="K355" s="3">
        <v>37</v>
      </c>
      <c r="L355" t="str">
        <f t="shared" si="48"/>
        <v/>
      </c>
      <c r="M355" s="19" t="str">
        <f t="shared" si="49"/>
        <v/>
      </c>
      <c r="N355" s="19" t="str">
        <f t="shared" si="46"/>
        <v/>
      </c>
      <c r="O355" s="3" t="str">
        <f t="shared" si="54"/>
        <v/>
      </c>
      <c r="P355" s="54"/>
      <c r="Q355" s="54"/>
      <c r="R355" s="19"/>
      <c r="S355" s="19"/>
      <c r="T355" s="3" t="str">
        <f t="shared" si="50"/>
        <v/>
      </c>
      <c r="U355" s="44" t="str">
        <f t="shared" si="47"/>
        <v/>
      </c>
      <c r="V355" s="3" t="str">
        <f>IF(L353="","",COUNTIF($L353:L$364,"Y"))</f>
        <v/>
      </c>
      <c r="W355" t="str">
        <f t="shared" si="55"/>
        <v/>
      </c>
      <c r="X355" t="str">
        <f t="shared" si="51"/>
        <v/>
      </c>
      <c r="Y355" s="14" t="str">
        <f t="shared" si="52"/>
        <v/>
      </c>
      <c r="Z355" s="14" t="str">
        <f t="shared" si="53"/>
        <v/>
      </c>
      <c r="AA355" s="15" t="str">
        <f t="shared" si="43"/>
        <v/>
      </c>
    </row>
    <row r="356" spans="1:27" x14ac:dyDescent="0.25">
      <c r="A356" s="3" t="s">
        <v>681</v>
      </c>
      <c r="B356" s="3" t="s">
        <v>682</v>
      </c>
      <c r="C356" s="3">
        <v>32.372425999999997</v>
      </c>
      <c r="D356" s="3">
        <v>-95.609513000000007</v>
      </c>
      <c r="E356" s="3" t="s">
        <v>685</v>
      </c>
      <c r="F356" s="3" t="s">
        <v>1024</v>
      </c>
      <c r="G356" s="3">
        <v>0</v>
      </c>
      <c r="H356" s="3" t="s">
        <v>1108</v>
      </c>
      <c r="I356" s="45" t="s">
        <v>1109</v>
      </c>
      <c r="J356" s="46" t="s">
        <v>1109</v>
      </c>
      <c r="K356" s="3">
        <v>38</v>
      </c>
      <c r="L356" t="str">
        <f t="shared" si="48"/>
        <v/>
      </c>
      <c r="M356" s="19" t="str">
        <f t="shared" si="49"/>
        <v/>
      </c>
      <c r="N356" s="19" t="str">
        <f t="shared" si="46"/>
        <v/>
      </c>
      <c r="O356" s="3" t="str">
        <f t="shared" si="54"/>
        <v/>
      </c>
      <c r="P356" s="54"/>
      <c r="Q356" s="54"/>
      <c r="R356" s="19"/>
      <c r="S356" s="19"/>
      <c r="T356" s="3" t="str">
        <f t="shared" si="50"/>
        <v/>
      </c>
      <c r="U356" s="44" t="str">
        <f t="shared" si="47"/>
        <v/>
      </c>
      <c r="V356" s="3" t="str">
        <f>IF(L354="","",COUNTIF($L354:L$364,"Y"))</f>
        <v/>
      </c>
      <c r="W356" t="str">
        <f t="shared" si="55"/>
        <v/>
      </c>
      <c r="X356" t="str">
        <f t="shared" si="51"/>
        <v/>
      </c>
      <c r="Y356" s="14" t="str">
        <f t="shared" si="52"/>
        <v/>
      </c>
      <c r="Z356" s="14" t="str">
        <f t="shared" si="53"/>
        <v/>
      </c>
      <c r="AA356" s="15" t="str">
        <f t="shared" si="43"/>
        <v/>
      </c>
    </row>
    <row r="357" spans="1:27" x14ac:dyDescent="0.25">
      <c r="A357" s="3" t="s">
        <v>686</v>
      </c>
      <c r="B357" s="3" t="s">
        <v>687</v>
      </c>
      <c r="C357" s="3">
        <v>32.306519000000002</v>
      </c>
      <c r="D357" s="3">
        <v>-96.006562000000002</v>
      </c>
      <c r="E357" s="3" t="s">
        <v>690</v>
      </c>
      <c r="F357" s="3" t="s">
        <v>1025</v>
      </c>
      <c r="G357" s="3">
        <v>0</v>
      </c>
      <c r="H357" s="3" t="s">
        <v>1108</v>
      </c>
      <c r="I357" s="45" t="s">
        <v>1109</v>
      </c>
      <c r="J357" s="46" t="s">
        <v>1109</v>
      </c>
      <c r="K357" s="3">
        <v>39</v>
      </c>
      <c r="L357" t="str">
        <f t="shared" si="48"/>
        <v/>
      </c>
      <c r="M357" s="19" t="str">
        <f t="shared" si="49"/>
        <v/>
      </c>
      <c r="N357" s="19" t="str">
        <f t="shared" si="46"/>
        <v/>
      </c>
      <c r="O357" s="3" t="str">
        <f t="shared" si="54"/>
        <v/>
      </c>
      <c r="P357" s="54"/>
      <c r="Q357" s="54"/>
      <c r="R357" s="19"/>
      <c r="S357" s="19"/>
      <c r="T357" s="3" t="str">
        <f t="shared" si="50"/>
        <v/>
      </c>
      <c r="U357" s="44" t="str">
        <f t="shared" si="47"/>
        <v/>
      </c>
      <c r="V357" s="3" t="str">
        <f>IF(L355="","",COUNTIF($L355:L$364,"Y"))</f>
        <v/>
      </c>
      <c r="W357" t="str">
        <f t="shared" si="55"/>
        <v/>
      </c>
      <c r="X357" t="str">
        <f t="shared" si="51"/>
        <v/>
      </c>
      <c r="Y357" s="14" t="str">
        <f t="shared" si="52"/>
        <v/>
      </c>
      <c r="Z357" s="14" t="str">
        <f t="shared" si="53"/>
        <v/>
      </c>
      <c r="AA357" s="15" t="str">
        <f t="shared" si="43"/>
        <v/>
      </c>
    </row>
    <row r="358" spans="1:27" x14ac:dyDescent="0.25">
      <c r="A358" s="3" t="s">
        <v>691</v>
      </c>
      <c r="B358" s="3" t="s">
        <v>692</v>
      </c>
      <c r="C358" s="3">
        <v>29.299282999999999</v>
      </c>
      <c r="D358" s="3">
        <v>-94.786659</v>
      </c>
      <c r="E358" s="3" t="s">
        <v>695</v>
      </c>
      <c r="F358" s="3" t="s">
        <v>1026</v>
      </c>
      <c r="G358" s="3">
        <v>0</v>
      </c>
      <c r="H358" s="3" t="s">
        <v>1108</v>
      </c>
      <c r="I358" s="45" t="s">
        <v>1109</v>
      </c>
      <c r="J358" s="46" t="s">
        <v>1109</v>
      </c>
      <c r="K358" s="3">
        <v>40</v>
      </c>
      <c r="L358" t="str">
        <f t="shared" si="48"/>
        <v/>
      </c>
      <c r="M358" s="19" t="str">
        <f t="shared" si="49"/>
        <v/>
      </c>
      <c r="N358" s="19" t="str">
        <f t="shared" si="46"/>
        <v/>
      </c>
      <c r="O358" s="3" t="str">
        <f t="shared" si="54"/>
        <v/>
      </c>
      <c r="P358" s="54"/>
      <c r="Q358" s="54"/>
      <c r="R358" s="19"/>
      <c r="S358" s="19"/>
      <c r="T358" s="3" t="str">
        <f t="shared" si="50"/>
        <v/>
      </c>
      <c r="U358" s="44" t="str">
        <f t="shared" si="47"/>
        <v/>
      </c>
      <c r="V358" s="3" t="str">
        <f>IF(L356="","",COUNTIF($L356:L$364,"Y"))</f>
        <v/>
      </c>
      <c r="W358" t="str">
        <f t="shared" si="55"/>
        <v/>
      </c>
      <c r="X358" t="str">
        <f t="shared" si="51"/>
        <v/>
      </c>
      <c r="Y358" s="14" t="str">
        <f t="shared" si="52"/>
        <v/>
      </c>
      <c r="Z358" s="14" t="str">
        <f t="shared" si="53"/>
        <v/>
      </c>
      <c r="AA358" s="15" t="str">
        <f t="shared" si="43"/>
        <v/>
      </c>
    </row>
    <row r="359" spans="1:27" x14ac:dyDescent="0.25">
      <c r="A359" s="3" t="s">
        <v>696</v>
      </c>
      <c r="B359" s="3" t="s">
        <v>697</v>
      </c>
      <c r="C359" s="3">
        <v>34.063723000000003</v>
      </c>
      <c r="D359" s="3">
        <v>-101.8443</v>
      </c>
      <c r="E359" s="3" t="s">
        <v>700</v>
      </c>
      <c r="F359" s="3" t="s">
        <v>1027</v>
      </c>
      <c r="G359" s="3">
        <v>0</v>
      </c>
      <c r="H359" s="3" t="s">
        <v>1108</v>
      </c>
      <c r="I359" s="45" t="s">
        <v>1109</v>
      </c>
      <c r="J359" s="46" t="s">
        <v>1109</v>
      </c>
      <c r="K359" s="3">
        <v>41</v>
      </c>
      <c r="L359" t="str">
        <f t="shared" si="48"/>
        <v/>
      </c>
      <c r="M359" s="19" t="str">
        <f t="shared" si="49"/>
        <v/>
      </c>
      <c r="N359" s="19" t="str">
        <f t="shared" si="46"/>
        <v/>
      </c>
      <c r="O359" s="3" t="str">
        <f t="shared" si="54"/>
        <v/>
      </c>
      <c r="P359" s="54"/>
      <c r="Q359" s="54"/>
      <c r="R359" s="19"/>
      <c r="S359" s="19"/>
      <c r="T359" s="3" t="str">
        <f t="shared" si="50"/>
        <v/>
      </c>
      <c r="U359" s="44" t="str">
        <f t="shared" si="47"/>
        <v/>
      </c>
      <c r="V359" s="3" t="str">
        <f>IF(L357="","",COUNTIF($L357:L$364,"Y"))</f>
        <v/>
      </c>
      <c r="W359" t="str">
        <f t="shared" si="55"/>
        <v/>
      </c>
      <c r="X359" t="str">
        <f t="shared" si="51"/>
        <v/>
      </c>
      <c r="Y359" s="14" t="str">
        <f t="shared" si="52"/>
        <v/>
      </c>
      <c r="Z359" s="14" t="str">
        <f t="shared" si="53"/>
        <v/>
      </c>
      <c r="AA359" s="15" t="str">
        <f t="shared" si="43"/>
        <v/>
      </c>
    </row>
    <row r="360" spans="1:27" x14ac:dyDescent="0.25">
      <c r="A360" s="3" t="s">
        <v>701</v>
      </c>
      <c r="B360" s="3" t="s">
        <v>702</v>
      </c>
      <c r="C360" s="3">
        <v>26.190290000000001</v>
      </c>
      <c r="D360" s="3">
        <v>-97.706873000000002</v>
      </c>
      <c r="E360" s="3" t="s">
        <v>705</v>
      </c>
      <c r="F360" s="3" t="s">
        <v>1028</v>
      </c>
      <c r="G360" s="3">
        <v>0</v>
      </c>
      <c r="H360" s="3" t="s">
        <v>1108</v>
      </c>
      <c r="I360" s="45" t="s">
        <v>1109</v>
      </c>
      <c r="J360" s="46" t="s">
        <v>1109</v>
      </c>
      <c r="K360" s="3">
        <v>42</v>
      </c>
      <c r="L360" t="str">
        <f t="shared" si="48"/>
        <v/>
      </c>
      <c r="M360" s="19" t="str">
        <f t="shared" si="49"/>
        <v/>
      </c>
      <c r="N360" s="19" t="str">
        <f t="shared" si="46"/>
        <v/>
      </c>
      <c r="O360" s="3" t="str">
        <f t="shared" si="54"/>
        <v/>
      </c>
      <c r="P360" s="54"/>
      <c r="Q360" s="54"/>
      <c r="R360" s="19"/>
      <c r="S360" s="19"/>
      <c r="T360" s="3" t="str">
        <f t="shared" si="50"/>
        <v/>
      </c>
      <c r="U360" s="44" t="str">
        <f t="shared" si="47"/>
        <v/>
      </c>
      <c r="V360" s="3" t="str">
        <f>IF(L358="","",COUNTIF($L358:L$364,"Y"))</f>
        <v/>
      </c>
      <c r="W360" t="str">
        <f t="shared" si="55"/>
        <v/>
      </c>
      <c r="X360" t="str">
        <f t="shared" si="51"/>
        <v/>
      </c>
      <c r="Y360" s="14" t="str">
        <f t="shared" si="52"/>
        <v/>
      </c>
      <c r="Z360" s="14" t="str">
        <f t="shared" si="53"/>
        <v/>
      </c>
      <c r="AA360" s="15" t="str">
        <f t="shared" si="43"/>
        <v/>
      </c>
    </row>
    <row r="361" spans="1:27" x14ac:dyDescent="0.25">
      <c r="A361" s="3" t="s">
        <v>706</v>
      </c>
      <c r="B361" s="3" t="s">
        <v>707</v>
      </c>
      <c r="C361" s="3">
        <v>30.913941000000001</v>
      </c>
      <c r="D361" s="3">
        <v>-101.901</v>
      </c>
      <c r="E361" s="3" t="s">
        <v>709</v>
      </c>
      <c r="F361" s="3" t="s">
        <v>1029</v>
      </c>
      <c r="G361" s="3">
        <v>0</v>
      </c>
      <c r="H361" s="3" t="s">
        <v>1108</v>
      </c>
      <c r="I361" s="45" t="s">
        <v>1109</v>
      </c>
      <c r="J361" s="46" t="s">
        <v>1109</v>
      </c>
      <c r="K361" s="3">
        <v>43</v>
      </c>
      <c r="L361" t="str">
        <f t="shared" si="48"/>
        <v/>
      </c>
      <c r="M361" s="19" t="str">
        <f t="shared" si="49"/>
        <v/>
      </c>
      <c r="N361" s="19" t="str">
        <f t="shared" si="46"/>
        <v/>
      </c>
      <c r="O361" s="3" t="str">
        <f t="shared" si="54"/>
        <v/>
      </c>
      <c r="P361" s="54"/>
      <c r="Q361" s="54"/>
      <c r="R361" s="19"/>
      <c r="S361" s="19"/>
      <c r="T361" s="3" t="str">
        <f t="shared" si="50"/>
        <v/>
      </c>
      <c r="U361" s="44" t="str">
        <f t="shared" si="47"/>
        <v/>
      </c>
      <c r="V361" s="3" t="str">
        <f>IF(L359="","",COUNTIF($L359:L$364,"Y"))</f>
        <v/>
      </c>
      <c r="W361" t="str">
        <f t="shared" si="55"/>
        <v/>
      </c>
      <c r="X361" t="str">
        <f t="shared" si="51"/>
        <v/>
      </c>
      <c r="Y361" s="14" t="str">
        <f t="shared" si="52"/>
        <v/>
      </c>
      <c r="Z361" s="14" t="str">
        <f t="shared" si="53"/>
        <v/>
      </c>
      <c r="AA361" s="15" t="str">
        <f t="shared" si="43"/>
        <v/>
      </c>
    </row>
    <row r="362" spans="1:27" x14ac:dyDescent="0.25">
      <c r="A362" s="3" t="s">
        <v>710</v>
      </c>
      <c r="B362" s="3" t="s">
        <v>711</v>
      </c>
      <c r="C362" s="3">
        <v>32.755218999999997</v>
      </c>
      <c r="D362" s="3">
        <v>-94.345341000000005</v>
      </c>
      <c r="E362" s="3" t="s">
        <v>714</v>
      </c>
      <c r="F362" s="3" t="s">
        <v>1030</v>
      </c>
      <c r="G362" s="3">
        <v>0</v>
      </c>
      <c r="H362" s="3" t="s">
        <v>1108</v>
      </c>
      <c r="I362" s="45" t="s">
        <v>1109</v>
      </c>
      <c r="J362" s="46" t="s">
        <v>1109</v>
      </c>
      <c r="K362" s="3">
        <v>44</v>
      </c>
      <c r="L362" t="str">
        <f t="shared" si="48"/>
        <v/>
      </c>
      <c r="M362" s="19" t="str">
        <f t="shared" si="49"/>
        <v/>
      </c>
      <c r="N362" s="19" t="str">
        <f t="shared" si="46"/>
        <v/>
      </c>
      <c r="O362" s="3" t="str">
        <f t="shared" si="54"/>
        <v/>
      </c>
      <c r="P362" s="54"/>
      <c r="Q362" s="54"/>
      <c r="R362" s="19"/>
      <c r="S362" s="19"/>
      <c r="T362" s="3" t="str">
        <f t="shared" si="50"/>
        <v/>
      </c>
      <c r="U362" s="44" t="str">
        <f t="shared" si="47"/>
        <v/>
      </c>
      <c r="V362" s="3" t="str">
        <f>IF(L360="","",COUNTIF($L360:L$364,"Y"))</f>
        <v/>
      </c>
      <c r="W362" t="str">
        <f t="shared" si="55"/>
        <v/>
      </c>
      <c r="X362" t="str">
        <f t="shared" si="51"/>
        <v/>
      </c>
      <c r="Y362" s="14" t="str">
        <f t="shared" si="52"/>
        <v/>
      </c>
      <c r="Z362" s="14" t="str">
        <f t="shared" si="53"/>
        <v/>
      </c>
      <c r="AA362" s="15" t="str">
        <f t="shared" si="43"/>
        <v/>
      </c>
    </row>
    <row r="363" spans="1:27" x14ac:dyDescent="0.25">
      <c r="A363" s="3" t="s">
        <v>715</v>
      </c>
      <c r="B363" s="3" t="s">
        <v>716</v>
      </c>
      <c r="C363" s="3">
        <v>32.747351000000002</v>
      </c>
      <c r="D363" s="3">
        <v>-101.952359</v>
      </c>
      <c r="E363" s="3" t="s">
        <v>719</v>
      </c>
      <c r="F363" s="3" t="s">
        <v>1031</v>
      </c>
      <c r="G363" s="3">
        <v>0</v>
      </c>
      <c r="H363" s="3" t="s">
        <v>1108</v>
      </c>
      <c r="I363" s="45" t="s">
        <v>1109</v>
      </c>
      <c r="J363" s="46" t="s">
        <v>1109</v>
      </c>
      <c r="K363" s="3">
        <v>45</v>
      </c>
      <c r="L363" t="str">
        <f t="shared" si="48"/>
        <v/>
      </c>
      <c r="M363" s="19" t="str">
        <f t="shared" si="49"/>
        <v/>
      </c>
      <c r="N363" s="19" t="str">
        <f t="shared" si="46"/>
        <v/>
      </c>
      <c r="O363" s="3" t="str">
        <f t="shared" si="54"/>
        <v/>
      </c>
      <c r="P363" s="54"/>
      <c r="Q363" s="54"/>
      <c r="R363" s="19"/>
      <c r="S363" s="19"/>
      <c r="T363" s="3" t="str">
        <f t="shared" si="50"/>
        <v/>
      </c>
      <c r="U363" s="44" t="str">
        <f t="shared" si="47"/>
        <v/>
      </c>
      <c r="V363" s="3" t="str">
        <f>IF(L361="","",COUNTIF($L361:L$364,"Y"))</f>
        <v/>
      </c>
      <c r="W363" t="str">
        <f t="shared" si="55"/>
        <v/>
      </c>
      <c r="X363" t="str">
        <f t="shared" si="51"/>
        <v/>
      </c>
      <c r="Y363" s="14" t="str">
        <f t="shared" si="52"/>
        <v/>
      </c>
      <c r="Z363" s="14" t="str">
        <f t="shared" si="53"/>
        <v/>
      </c>
      <c r="AA363" s="15" t="str">
        <f t="shared" si="43"/>
        <v/>
      </c>
    </row>
    <row r="364" spans="1:27" x14ac:dyDescent="0.25">
      <c r="A364" s="3" t="s">
        <v>720</v>
      </c>
      <c r="B364" s="3" t="s">
        <v>721</v>
      </c>
      <c r="C364" s="3">
        <v>30.677671</v>
      </c>
      <c r="D364" s="3">
        <v>-99.576662999999996</v>
      </c>
      <c r="E364" s="3" t="s">
        <v>724</v>
      </c>
      <c r="F364" s="3" t="s">
        <v>1032</v>
      </c>
      <c r="G364" s="3">
        <v>0</v>
      </c>
      <c r="H364" s="3" t="s">
        <v>1108</v>
      </c>
      <c r="I364" s="45" t="s">
        <v>1109</v>
      </c>
      <c r="J364" s="46" t="s">
        <v>1109</v>
      </c>
      <c r="K364" s="3">
        <v>46</v>
      </c>
      <c r="L364" t="str">
        <f t="shared" si="48"/>
        <v/>
      </c>
      <c r="M364" s="19" t="str">
        <f t="shared" si="49"/>
        <v/>
      </c>
      <c r="N364" s="19" t="str">
        <f t="shared" si="46"/>
        <v/>
      </c>
      <c r="O364" s="3" t="str">
        <f t="shared" si="54"/>
        <v/>
      </c>
      <c r="P364" s="54"/>
      <c r="Q364" s="54"/>
      <c r="R364" s="19"/>
      <c r="S364" s="19"/>
      <c r="T364" s="3" t="str">
        <f t="shared" si="50"/>
        <v/>
      </c>
      <c r="U364" s="44" t="str">
        <f t="shared" si="47"/>
        <v/>
      </c>
      <c r="V364" s="3" t="str">
        <f>IF(L362="","",COUNTIF($L362:L$364,"Y"))</f>
        <v/>
      </c>
      <c r="W364" t="str">
        <f t="shared" si="55"/>
        <v/>
      </c>
      <c r="X364" t="str">
        <f t="shared" si="51"/>
        <v/>
      </c>
      <c r="Y364" s="14" t="str">
        <f t="shared" si="52"/>
        <v/>
      </c>
      <c r="Z364" s="14" t="str">
        <f t="shared" si="53"/>
        <v/>
      </c>
      <c r="AA364" s="15" t="str">
        <f t="shared" si="43"/>
        <v/>
      </c>
    </row>
    <row r="365" spans="1:27" x14ac:dyDescent="0.25">
      <c r="A365" s="3" t="s">
        <v>725</v>
      </c>
      <c r="B365" s="3" t="s">
        <v>726</v>
      </c>
      <c r="C365" s="3">
        <v>30.748961000000001</v>
      </c>
      <c r="D365" s="3">
        <v>-99.231080000000006</v>
      </c>
      <c r="E365" s="3" t="s">
        <v>729</v>
      </c>
      <c r="F365" s="3" t="s">
        <v>1033</v>
      </c>
      <c r="G365" s="3">
        <v>0</v>
      </c>
      <c r="H365" s="3" t="s">
        <v>1108</v>
      </c>
      <c r="I365" s="45" t="s">
        <v>1109</v>
      </c>
      <c r="J365" s="46" t="s">
        <v>1109</v>
      </c>
      <c r="K365" s="3">
        <v>47</v>
      </c>
      <c r="L365" t="str">
        <f t="shared" si="48"/>
        <v/>
      </c>
      <c r="M365" s="19" t="str">
        <f t="shared" si="49"/>
        <v/>
      </c>
      <c r="N365" s="19" t="str">
        <f t="shared" si="46"/>
        <v/>
      </c>
      <c r="O365" s="3" t="str">
        <f t="shared" si="54"/>
        <v/>
      </c>
      <c r="P365" s="54"/>
      <c r="Q365" s="54"/>
      <c r="R365" s="19"/>
      <c r="S365" s="19"/>
      <c r="T365" s="3" t="str">
        <f t="shared" si="50"/>
        <v/>
      </c>
      <c r="U365" s="44" t="str">
        <f t="shared" si="47"/>
        <v/>
      </c>
      <c r="V365" s="3" t="str">
        <f>IF(L363="","",COUNTIF($L363:L$364,"Y"))</f>
        <v/>
      </c>
      <c r="W365" t="str">
        <f t="shared" si="55"/>
        <v/>
      </c>
      <c r="X365" t="str">
        <f t="shared" si="51"/>
        <v/>
      </c>
      <c r="Y365" s="14" t="str">
        <f t="shared" si="52"/>
        <v/>
      </c>
      <c r="Z365" s="14" t="str">
        <f t="shared" si="53"/>
        <v/>
      </c>
      <c r="AA365" s="15" t="str">
        <f t="shared" si="43"/>
        <v/>
      </c>
    </row>
    <row r="366" spans="1:27" x14ac:dyDescent="0.25">
      <c r="A366" s="3" t="s">
        <v>730</v>
      </c>
      <c r="B366" s="3" t="s">
        <v>731</v>
      </c>
      <c r="C366" s="3">
        <v>31.441797000000001</v>
      </c>
      <c r="D366" s="3">
        <v>-97.416860999999997</v>
      </c>
      <c r="E366" s="3" t="s">
        <v>734</v>
      </c>
      <c r="F366" s="3" t="s">
        <v>1034</v>
      </c>
      <c r="G366" s="3">
        <v>0</v>
      </c>
      <c r="H366" s="3" t="s">
        <v>1108</v>
      </c>
      <c r="I366" s="45" t="s">
        <v>1109</v>
      </c>
      <c r="J366" s="46" t="s">
        <v>1109</v>
      </c>
      <c r="K366" s="3">
        <v>48</v>
      </c>
      <c r="L366" t="str">
        <f t="shared" si="48"/>
        <v/>
      </c>
      <c r="M366" s="19" t="str">
        <f t="shared" si="49"/>
        <v/>
      </c>
      <c r="N366" s="19" t="str">
        <f t="shared" si="46"/>
        <v/>
      </c>
      <c r="O366" s="3" t="str">
        <f t="shared" si="54"/>
        <v/>
      </c>
      <c r="P366" s="54"/>
      <c r="Q366" s="54"/>
      <c r="R366" s="19"/>
      <c r="S366" s="19"/>
      <c r="T366" s="3" t="str">
        <f t="shared" si="50"/>
        <v/>
      </c>
      <c r="U366" s="44" t="str">
        <f t="shared" si="47"/>
        <v/>
      </c>
      <c r="V366" s="3" t="str">
        <f>IF(L364="","",COUNTIF($L$364:L364,"Y"))</f>
        <v/>
      </c>
      <c r="W366" t="str">
        <f t="shared" si="55"/>
        <v/>
      </c>
      <c r="X366" t="str">
        <f t="shared" si="51"/>
        <v/>
      </c>
      <c r="Y366" s="14" t="str">
        <f t="shared" si="52"/>
        <v/>
      </c>
      <c r="Z366" s="14" t="str">
        <f t="shared" si="53"/>
        <v/>
      </c>
      <c r="AA366" s="15" t="str">
        <f t="shared" si="43"/>
        <v/>
      </c>
    </row>
    <row r="367" spans="1:27" x14ac:dyDescent="0.25">
      <c r="A367" s="3" t="s">
        <v>735</v>
      </c>
      <c r="B367" s="3" t="s">
        <v>736</v>
      </c>
      <c r="C367" s="3">
        <v>29.590686000000002</v>
      </c>
      <c r="D367" s="3">
        <v>-98.038651000000002</v>
      </c>
      <c r="E367" s="3" t="s">
        <v>739</v>
      </c>
      <c r="F367" s="3" t="s">
        <v>1035</v>
      </c>
      <c r="G367" s="3">
        <v>0</v>
      </c>
      <c r="H367" s="3" t="s">
        <v>1108</v>
      </c>
      <c r="I367" s="45" t="s">
        <v>1109</v>
      </c>
      <c r="J367" s="46" t="s">
        <v>1109</v>
      </c>
      <c r="K367" s="3">
        <v>49</v>
      </c>
      <c r="L367" t="str">
        <f t="shared" si="48"/>
        <v/>
      </c>
      <c r="M367" s="19" t="str">
        <f t="shared" si="49"/>
        <v/>
      </c>
      <c r="N367" s="19" t="str">
        <f t="shared" si="46"/>
        <v/>
      </c>
      <c r="O367" s="3" t="str">
        <f t="shared" si="54"/>
        <v/>
      </c>
      <c r="P367" s="54"/>
      <c r="Q367" s="54"/>
      <c r="R367" s="19"/>
      <c r="S367" s="19"/>
      <c r="T367" s="3" t="str">
        <f t="shared" si="50"/>
        <v/>
      </c>
      <c r="U367" s="44" t="str">
        <f t="shared" si="47"/>
        <v/>
      </c>
      <c r="V367" s="3" t="str">
        <f>IF(L365="","",COUNTIF($L$364:L365,"Y"))</f>
        <v/>
      </c>
      <c r="W367" t="str">
        <f t="shared" si="55"/>
        <v/>
      </c>
      <c r="X367" t="str">
        <f t="shared" si="51"/>
        <v/>
      </c>
      <c r="Y367" s="14" t="str">
        <f t="shared" si="52"/>
        <v/>
      </c>
      <c r="Z367" s="14" t="str">
        <f t="shared" si="53"/>
        <v/>
      </c>
      <c r="AA367" s="15" t="str">
        <f t="shared" si="43"/>
        <v/>
      </c>
    </row>
    <row r="368" spans="1:27" x14ac:dyDescent="0.25">
      <c r="A368" s="3" t="s">
        <v>740</v>
      </c>
      <c r="B368" s="3" t="s">
        <v>741</v>
      </c>
      <c r="C368" s="3">
        <v>31.965385999999999</v>
      </c>
      <c r="D368" s="3">
        <v>-102.1062</v>
      </c>
      <c r="E368" s="3" t="s">
        <v>744</v>
      </c>
      <c r="F368" s="3" t="s">
        <v>1036</v>
      </c>
      <c r="G368" s="3">
        <v>0</v>
      </c>
      <c r="H368" s="3" t="s">
        <v>1108</v>
      </c>
      <c r="I368" s="45" t="s">
        <v>1109</v>
      </c>
      <c r="J368" s="46" t="s">
        <v>1109</v>
      </c>
      <c r="K368" s="3">
        <v>50</v>
      </c>
      <c r="L368" t="str">
        <f t="shared" si="48"/>
        <v/>
      </c>
      <c r="M368" s="19" t="str">
        <f t="shared" si="49"/>
        <v/>
      </c>
      <c r="N368" s="19" t="str">
        <f t="shared" si="46"/>
        <v/>
      </c>
      <c r="O368" s="3" t="str">
        <f t="shared" si="54"/>
        <v/>
      </c>
      <c r="P368" s="54"/>
      <c r="Q368" s="54"/>
      <c r="R368" s="19"/>
      <c r="S368" s="19"/>
      <c r="T368" s="3" t="str">
        <f t="shared" si="50"/>
        <v/>
      </c>
      <c r="U368" s="44" t="str">
        <f t="shared" si="47"/>
        <v/>
      </c>
      <c r="V368" s="3" t="str">
        <f>IF(L366="","",COUNTIF($L$364:L366,"Y"))</f>
        <v/>
      </c>
      <c r="W368" t="str">
        <f t="shared" si="55"/>
        <v/>
      </c>
      <c r="X368" t="str">
        <f t="shared" si="51"/>
        <v/>
      </c>
      <c r="Y368" s="14" t="str">
        <f t="shared" si="52"/>
        <v/>
      </c>
      <c r="Z368" s="14" t="str">
        <f t="shared" si="53"/>
        <v/>
      </c>
      <c r="AA368" s="15" t="str">
        <f t="shared" si="43"/>
        <v/>
      </c>
    </row>
    <row r="369" spans="1:27" x14ac:dyDescent="0.25">
      <c r="A369" s="3" t="s">
        <v>745</v>
      </c>
      <c r="B369" s="3" t="s">
        <v>746</v>
      </c>
      <c r="C369" s="3">
        <v>30.246628000000001</v>
      </c>
      <c r="D369" s="3">
        <v>-94.741636</v>
      </c>
      <c r="E369" s="3" t="s">
        <v>749</v>
      </c>
      <c r="F369" s="3" t="s">
        <v>1037</v>
      </c>
      <c r="G369" s="3">
        <v>0</v>
      </c>
      <c r="H369" s="3" t="s">
        <v>1108</v>
      </c>
      <c r="I369" s="45" t="s">
        <v>1109</v>
      </c>
      <c r="J369" s="46" t="s">
        <v>1109</v>
      </c>
      <c r="K369" s="3">
        <v>51</v>
      </c>
      <c r="L369" t="str">
        <f t="shared" si="48"/>
        <v/>
      </c>
      <c r="M369" s="19" t="str">
        <f t="shared" si="49"/>
        <v/>
      </c>
      <c r="N369" s="19" t="str">
        <f t="shared" si="46"/>
        <v/>
      </c>
      <c r="O369" s="3" t="str">
        <f t="shared" si="54"/>
        <v/>
      </c>
      <c r="P369" s="54"/>
      <c r="Q369" s="54"/>
      <c r="R369" s="19"/>
      <c r="S369" s="19"/>
      <c r="T369" s="3" t="str">
        <f t="shared" si="50"/>
        <v/>
      </c>
      <c r="U369" s="44" t="str">
        <f t="shared" si="47"/>
        <v/>
      </c>
      <c r="V369" s="3" t="str">
        <f>IF(L367="","",COUNTIF($L$364:L367,"Y"))</f>
        <v/>
      </c>
      <c r="W369" t="str">
        <f t="shared" si="55"/>
        <v/>
      </c>
      <c r="X369" t="str">
        <f t="shared" si="51"/>
        <v/>
      </c>
      <c r="Y369" s="14" t="str">
        <f t="shared" si="52"/>
        <v/>
      </c>
      <c r="Z369" s="14" t="str">
        <f t="shared" si="53"/>
        <v/>
      </c>
      <c r="AA369" s="15" t="str">
        <f t="shared" si="43"/>
        <v/>
      </c>
    </row>
    <row r="370" spans="1:27" x14ac:dyDescent="0.25">
      <c r="A370" s="3" t="s">
        <v>750</v>
      </c>
      <c r="B370" s="3" t="s">
        <v>751</v>
      </c>
      <c r="C370" s="3">
        <v>33.662970999999999</v>
      </c>
      <c r="D370" s="3">
        <v>-95.558655999999999</v>
      </c>
      <c r="E370" s="3" t="s">
        <v>754</v>
      </c>
      <c r="F370" s="3" t="s">
        <v>1038</v>
      </c>
      <c r="G370" s="3">
        <v>0</v>
      </c>
      <c r="H370" s="3" t="s">
        <v>1108</v>
      </c>
      <c r="I370" s="45" t="s">
        <v>1109</v>
      </c>
      <c r="J370" s="46" t="s">
        <v>1109</v>
      </c>
      <c r="K370" s="3">
        <v>52</v>
      </c>
      <c r="L370" t="str">
        <f t="shared" si="48"/>
        <v/>
      </c>
      <c r="M370" s="19" t="str">
        <f t="shared" si="49"/>
        <v/>
      </c>
      <c r="N370" s="19" t="str">
        <f t="shared" si="46"/>
        <v/>
      </c>
      <c r="O370" s="3" t="str">
        <f t="shared" si="54"/>
        <v/>
      </c>
      <c r="P370" s="54"/>
      <c r="Q370" s="54"/>
      <c r="R370" s="19"/>
      <c r="S370" s="19"/>
      <c r="T370" s="3" t="str">
        <f t="shared" si="50"/>
        <v/>
      </c>
      <c r="U370" s="44" t="str">
        <f t="shared" si="47"/>
        <v/>
      </c>
      <c r="V370" s="3" t="str">
        <f>IF(L368="","",COUNTIF($L$364:L368,"Y"))</f>
        <v/>
      </c>
      <c r="W370" t="str">
        <f t="shared" si="55"/>
        <v/>
      </c>
      <c r="X370" t="str">
        <f t="shared" si="51"/>
        <v/>
      </c>
      <c r="Y370" s="14" t="str">
        <f t="shared" si="52"/>
        <v/>
      </c>
      <c r="Z370" s="14" t="str">
        <f t="shared" si="53"/>
        <v/>
      </c>
      <c r="AA370" s="15" t="str">
        <f t="shared" si="43"/>
        <v/>
      </c>
    </row>
    <row r="371" spans="1:27" x14ac:dyDescent="0.25">
      <c r="A371" s="3" t="s">
        <v>755</v>
      </c>
      <c r="B371" s="3" t="s">
        <v>756</v>
      </c>
      <c r="C371" s="3">
        <v>26.381633999999998</v>
      </c>
      <c r="D371" s="3">
        <v>-98.825329999999994</v>
      </c>
      <c r="E371" s="3" t="s">
        <v>759</v>
      </c>
      <c r="F371" s="3" t="s">
        <v>1039</v>
      </c>
      <c r="G371" s="3">
        <v>0</v>
      </c>
      <c r="H371" s="3" t="s">
        <v>1108</v>
      </c>
      <c r="I371" s="45" t="s">
        <v>1109</v>
      </c>
      <c r="J371" s="46" t="s">
        <v>1109</v>
      </c>
      <c r="K371" s="3">
        <v>53</v>
      </c>
      <c r="L371" t="str">
        <f t="shared" si="48"/>
        <v/>
      </c>
      <c r="M371" s="19" t="str">
        <f t="shared" si="49"/>
        <v/>
      </c>
      <c r="N371" s="19" t="str">
        <f t="shared" si="46"/>
        <v/>
      </c>
      <c r="O371" s="3" t="str">
        <f t="shared" si="54"/>
        <v/>
      </c>
      <c r="P371" s="54"/>
      <c r="Q371" s="54"/>
      <c r="R371" s="19"/>
      <c r="S371" s="19"/>
      <c r="T371" s="3" t="str">
        <f t="shared" si="50"/>
        <v/>
      </c>
      <c r="U371" s="44" t="str">
        <f t="shared" si="47"/>
        <v/>
      </c>
      <c r="V371" s="3" t="str">
        <f>IF(L369="","",COUNTIF($L$364:L369,"Y"))</f>
        <v/>
      </c>
      <c r="W371" t="str">
        <f t="shared" si="55"/>
        <v/>
      </c>
      <c r="X371" t="str">
        <f t="shared" si="51"/>
        <v/>
      </c>
      <c r="Y371" s="14" t="str">
        <f t="shared" si="52"/>
        <v/>
      </c>
      <c r="Z371" s="14" t="str">
        <f t="shared" si="53"/>
        <v/>
      </c>
      <c r="AA371" s="15" t="str">
        <f t="shared" si="43"/>
        <v/>
      </c>
    </row>
    <row r="372" spans="1:27" x14ac:dyDescent="0.25">
      <c r="A372" s="3" t="s">
        <v>760</v>
      </c>
      <c r="B372" s="3" t="s">
        <v>761</v>
      </c>
      <c r="C372" s="3">
        <v>31.095687000000002</v>
      </c>
      <c r="D372" s="3">
        <v>-96.980987999999996</v>
      </c>
      <c r="E372" s="3" t="s">
        <v>764</v>
      </c>
      <c r="F372" s="3" t="s">
        <v>1040</v>
      </c>
      <c r="G372" s="3">
        <v>1500</v>
      </c>
      <c r="H372" s="3" t="s">
        <v>1108</v>
      </c>
      <c r="I372" s="45" t="s">
        <v>1109</v>
      </c>
      <c r="J372" s="46" t="s">
        <v>1109</v>
      </c>
      <c r="K372" s="3">
        <v>54</v>
      </c>
      <c r="L372" t="str">
        <f t="shared" si="48"/>
        <v/>
      </c>
      <c r="M372" s="19" t="str">
        <f t="shared" si="49"/>
        <v/>
      </c>
      <c r="N372" s="19" t="str">
        <f t="shared" si="46"/>
        <v/>
      </c>
      <c r="O372" s="3" t="str">
        <f t="shared" si="54"/>
        <v/>
      </c>
      <c r="P372" s="54"/>
      <c r="Q372" s="54"/>
      <c r="R372" s="19"/>
      <c r="S372" s="19"/>
      <c r="T372" s="3" t="str">
        <f t="shared" si="50"/>
        <v/>
      </c>
      <c r="U372" s="44" t="str">
        <f t="shared" si="47"/>
        <v/>
      </c>
      <c r="V372" s="3" t="str">
        <f>IF(L370="","",COUNTIF($L$364:L370,"Y"))</f>
        <v/>
      </c>
      <c r="W372" t="str">
        <f t="shared" si="55"/>
        <v/>
      </c>
      <c r="X372" t="str">
        <f t="shared" si="51"/>
        <v/>
      </c>
      <c r="Y372" s="14" t="str">
        <f t="shared" si="52"/>
        <v/>
      </c>
      <c r="Z372" s="14" t="str">
        <f t="shared" si="53"/>
        <v/>
      </c>
      <c r="AA372" s="15" t="str">
        <f t="shared" si="43"/>
        <v/>
      </c>
    </row>
    <row r="373" spans="1:27" x14ac:dyDescent="0.25">
      <c r="A373" s="3" t="s">
        <v>765</v>
      </c>
      <c r="B373" s="3" t="s">
        <v>766</v>
      </c>
      <c r="C373" s="3">
        <v>29.497855000000001</v>
      </c>
      <c r="D373" s="3">
        <v>-98.479517000000001</v>
      </c>
      <c r="E373" s="3" t="s">
        <v>769</v>
      </c>
      <c r="F373" s="3" t="s">
        <v>1041</v>
      </c>
      <c r="G373" s="3">
        <v>0</v>
      </c>
      <c r="H373" s="3" t="s">
        <v>1108</v>
      </c>
      <c r="I373" s="45" t="s">
        <v>1109</v>
      </c>
      <c r="J373" s="46" t="s">
        <v>1109</v>
      </c>
      <c r="K373" s="3">
        <v>55</v>
      </c>
      <c r="L373" t="str">
        <f t="shared" si="48"/>
        <v/>
      </c>
      <c r="M373" s="19" t="str">
        <f t="shared" si="49"/>
        <v/>
      </c>
      <c r="N373" s="19" t="str">
        <f t="shared" si="46"/>
        <v/>
      </c>
      <c r="O373" s="3" t="str">
        <f t="shared" si="54"/>
        <v/>
      </c>
      <c r="P373" s="54"/>
      <c r="Q373" s="54"/>
      <c r="R373" s="19"/>
      <c r="S373" s="19"/>
      <c r="T373" s="3" t="str">
        <f t="shared" si="50"/>
        <v/>
      </c>
      <c r="U373" s="44" t="str">
        <f t="shared" si="47"/>
        <v/>
      </c>
      <c r="V373" s="3" t="str">
        <f>IF(L371="","",COUNTIF($L$364:L371,"Y"))</f>
        <v/>
      </c>
      <c r="W373" t="str">
        <f t="shared" si="55"/>
        <v/>
      </c>
      <c r="X373" t="str">
        <f t="shared" si="51"/>
        <v/>
      </c>
      <c r="Y373" s="14" t="str">
        <f t="shared" si="52"/>
        <v/>
      </c>
      <c r="Z373" s="14" t="str">
        <f t="shared" si="53"/>
        <v/>
      </c>
      <c r="AA373" s="15" t="str">
        <f t="shared" si="43"/>
        <v/>
      </c>
    </row>
    <row r="374" spans="1:27" x14ac:dyDescent="0.25">
      <c r="A374" s="3" t="s">
        <v>770</v>
      </c>
      <c r="B374" s="3" t="s">
        <v>771</v>
      </c>
      <c r="C374" s="3">
        <v>27.763286000000001</v>
      </c>
      <c r="D374" s="3">
        <v>-98.234438999999995</v>
      </c>
      <c r="E374" s="3" t="s">
        <v>774</v>
      </c>
      <c r="F374" s="3" t="s">
        <v>1042</v>
      </c>
      <c r="G374" s="3">
        <v>0</v>
      </c>
      <c r="H374" s="3" t="s">
        <v>1108</v>
      </c>
      <c r="I374" s="45" t="s">
        <v>1109</v>
      </c>
      <c r="J374" s="46" t="s">
        <v>1109</v>
      </c>
      <c r="K374" s="3">
        <v>56</v>
      </c>
      <c r="L374" t="str">
        <f t="shared" si="48"/>
        <v/>
      </c>
      <c r="M374" s="19" t="str">
        <f t="shared" si="49"/>
        <v/>
      </c>
      <c r="N374" s="19" t="str">
        <f t="shared" si="46"/>
        <v/>
      </c>
      <c r="O374" s="3" t="str">
        <f t="shared" si="54"/>
        <v/>
      </c>
      <c r="P374" s="54"/>
      <c r="Q374" s="54"/>
      <c r="R374" s="19"/>
      <c r="S374" s="19"/>
      <c r="T374" s="3" t="str">
        <f t="shared" si="50"/>
        <v/>
      </c>
      <c r="U374" s="44" t="str">
        <f t="shared" si="47"/>
        <v/>
      </c>
      <c r="V374" s="3" t="str">
        <f>IF(L372="","",COUNTIF($L$364:L372,"Y"))</f>
        <v/>
      </c>
      <c r="W374" t="str">
        <f t="shared" si="55"/>
        <v/>
      </c>
      <c r="X374" t="str">
        <f t="shared" si="51"/>
        <v/>
      </c>
      <c r="Y374" s="14" t="str">
        <f t="shared" si="52"/>
        <v/>
      </c>
      <c r="Z374" s="14" t="str">
        <f t="shared" si="53"/>
        <v/>
      </c>
      <c r="AA374" s="15" t="str">
        <f t="shared" si="43"/>
        <v/>
      </c>
    </row>
    <row r="375" spans="1:27" x14ac:dyDescent="0.25">
      <c r="A375" s="3" t="s">
        <v>775</v>
      </c>
      <c r="B375" s="3" t="s">
        <v>776</v>
      </c>
      <c r="C375" s="3">
        <v>32.221668999999999</v>
      </c>
      <c r="D375" s="3">
        <v>-98.199678000000006</v>
      </c>
      <c r="E375" s="3" t="s">
        <v>779</v>
      </c>
      <c r="F375" s="3" t="s">
        <v>1043</v>
      </c>
      <c r="G375" s="3">
        <v>0</v>
      </c>
      <c r="H375" s="3" t="s">
        <v>1108</v>
      </c>
      <c r="I375" s="45" t="s">
        <v>1109</v>
      </c>
      <c r="J375" s="46" t="s">
        <v>1109</v>
      </c>
      <c r="K375" s="3">
        <v>57</v>
      </c>
      <c r="L375" t="str">
        <f t="shared" si="48"/>
        <v/>
      </c>
      <c r="M375" s="19" t="str">
        <f t="shared" si="49"/>
        <v/>
      </c>
      <c r="N375" s="19" t="str">
        <f t="shared" si="46"/>
        <v/>
      </c>
      <c r="O375" s="3" t="str">
        <f t="shared" si="54"/>
        <v/>
      </c>
      <c r="P375" s="54"/>
      <c r="Q375" s="54"/>
      <c r="R375" s="19"/>
      <c r="S375" s="19"/>
      <c r="T375" s="3" t="str">
        <f t="shared" si="50"/>
        <v/>
      </c>
      <c r="U375" s="44" t="str">
        <f t="shared" si="47"/>
        <v/>
      </c>
      <c r="V375" s="3" t="str">
        <f>IF(L373="","",COUNTIF($L$364:L373,"Y"))</f>
        <v/>
      </c>
      <c r="W375" t="str">
        <f t="shared" si="55"/>
        <v/>
      </c>
      <c r="X375" t="str">
        <f t="shared" si="51"/>
        <v/>
      </c>
      <c r="Y375" s="14" t="str">
        <f t="shared" si="52"/>
        <v/>
      </c>
      <c r="Z375" s="14" t="str">
        <f t="shared" si="53"/>
        <v/>
      </c>
      <c r="AA375" s="15" t="str">
        <f t="shared" si="43"/>
        <v/>
      </c>
    </row>
    <row r="376" spans="1:27" x14ac:dyDescent="0.25">
      <c r="A376" s="3" t="s">
        <v>780</v>
      </c>
      <c r="B376" s="3" t="s">
        <v>781</v>
      </c>
      <c r="C376" s="3">
        <v>32.476591999999997</v>
      </c>
      <c r="D376" s="3">
        <v>-100.394837</v>
      </c>
      <c r="E376" s="3" t="s">
        <v>784</v>
      </c>
      <c r="F376" s="3" t="s">
        <v>1044</v>
      </c>
      <c r="G376" s="3">
        <v>0</v>
      </c>
      <c r="H376" s="3" t="s">
        <v>1108</v>
      </c>
      <c r="I376" s="45" t="s">
        <v>1109</v>
      </c>
      <c r="J376" s="46" t="s">
        <v>1109</v>
      </c>
      <c r="K376" s="3">
        <v>58</v>
      </c>
      <c r="L376" t="str">
        <f t="shared" si="48"/>
        <v/>
      </c>
      <c r="M376" s="19" t="str">
        <f t="shared" si="49"/>
        <v/>
      </c>
      <c r="N376" s="19" t="str">
        <f t="shared" si="46"/>
        <v/>
      </c>
      <c r="O376" s="3" t="str">
        <f t="shared" si="54"/>
        <v/>
      </c>
      <c r="P376" s="54"/>
      <c r="Q376" s="54"/>
      <c r="R376" s="19"/>
      <c r="S376" s="19"/>
      <c r="T376" s="3" t="str">
        <f t="shared" si="50"/>
        <v/>
      </c>
      <c r="U376" s="44" t="str">
        <f t="shared" si="47"/>
        <v/>
      </c>
      <c r="V376" s="3" t="str">
        <f>IF(L374="","",COUNTIF($L$364:L374,"Y"))</f>
        <v/>
      </c>
      <c r="W376" t="str">
        <f t="shared" si="55"/>
        <v/>
      </c>
      <c r="X376" t="str">
        <f t="shared" si="51"/>
        <v/>
      </c>
      <c r="Y376" s="14" t="str">
        <f t="shared" si="52"/>
        <v/>
      </c>
      <c r="Z376" s="14" t="str">
        <f t="shared" si="53"/>
        <v/>
      </c>
      <c r="AA376" s="15" t="str">
        <f t="shared" si="43"/>
        <v/>
      </c>
    </row>
    <row r="377" spans="1:27" x14ac:dyDescent="0.25">
      <c r="A377" s="3" t="s">
        <v>785</v>
      </c>
      <c r="B377" s="3" t="s">
        <v>786</v>
      </c>
      <c r="C377" s="3">
        <v>35.444873999999999</v>
      </c>
      <c r="D377" s="3">
        <v>-100.28172499999999</v>
      </c>
      <c r="E377" s="3" t="s">
        <v>789</v>
      </c>
      <c r="F377" s="3" t="s">
        <v>1045</v>
      </c>
      <c r="G377" s="3">
        <v>0</v>
      </c>
      <c r="H377" s="3" t="s">
        <v>1108</v>
      </c>
      <c r="I377" s="45" t="s">
        <v>1109</v>
      </c>
      <c r="J377" s="46" t="s">
        <v>1109</v>
      </c>
      <c r="K377" s="3">
        <v>59</v>
      </c>
      <c r="L377" t="str">
        <f t="shared" si="48"/>
        <v/>
      </c>
      <c r="M377" s="19" t="str">
        <f t="shared" si="49"/>
        <v/>
      </c>
      <c r="N377" s="19" t="str">
        <f t="shared" si="46"/>
        <v/>
      </c>
      <c r="O377" s="3" t="str">
        <f t="shared" si="54"/>
        <v/>
      </c>
      <c r="P377" s="54"/>
      <c r="Q377" s="54"/>
      <c r="R377" s="19"/>
      <c r="S377" s="19"/>
      <c r="T377" s="3" t="str">
        <f t="shared" si="50"/>
        <v/>
      </c>
      <c r="U377" s="44" t="str">
        <f t="shared" si="47"/>
        <v/>
      </c>
      <c r="V377" s="3" t="str">
        <f>IF(L375="","",COUNTIF($L$364:L375,"Y"))</f>
        <v/>
      </c>
      <c r="W377" t="str">
        <f t="shared" si="55"/>
        <v/>
      </c>
      <c r="X377" t="str">
        <f t="shared" si="51"/>
        <v/>
      </c>
      <c r="Y377" s="14" t="str">
        <f t="shared" si="52"/>
        <v/>
      </c>
      <c r="Z377" s="14" t="str">
        <f t="shared" si="53"/>
        <v/>
      </c>
      <c r="AA377" s="15" t="str">
        <f t="shared" si="43"/>
        <v/>
      </c>
    </row>
    <row r="378" spans="1:27" x14ac:dyDescent="0.25">
      <c r="A378" s="3" t="s">
        <v>790</v>
      </c>
      <c r="B378" s="3" t="s">
        <v>791</v>
      </c>
      <c r="C378" s="3">
        <v>33.716588000000002</v>
      </c>
      <c r="D378" s="3">
        <v>-96.904617000000002</v>
      </c>
      <c r="E378" s="3" t="s">
        <v>794</v>
      </c>
      <c r="F378" s="3" t="s">
        <v>1046</v>
      </c>
      <c r="G378" s="3">
        <v>1500</v>
      </c>
      <c r="H378" s="3" t="s">
        <v>1108</v>
      </c>
      <c r="I378" s="45" t="s">
        <v>1109</v>
      </c>
      <c r="J378" s="46" t="s">
        <v>1109</v>
      </c>
      <c r="K378" s="3">
        <v>60</v>
      </c>
      <c r="L378" t="str">
        <f t="shared" si="48"/>
        <v/>
      </c>
      <c r="M378" s="19" t="str">
        <f t="shared" si="49"/>
        <v/>
      </c>
      <c r="N378" s="19" t="str">
        <f t="shared" si="46"/>
        <v/>
      </c>
      <c r="O378" s="3" t="str">
        <f t="shared" si="54"/>
        <v/>
      </c>
      <c r="P378" s="54"/>
      <c r="Q378" s="54"/>
      <c r="R378" s="19"/>
      <c r="S378" s="19"/>
      <c r="T378" s="3" t="str">
        <f t="shared" si="50"/>
        <v/>
      </c>
      <c r="U378" s="44" t="str">
        <f t="shared" si="47"/>
        <v/>
      </c>
      <c r="V378" s="3" t="str">
        <f>IF(L376="","",COUNTIF($L$364:L376,"Y"))</f>
        <v/>
      </c>
      <c r="W378" t="str">
        <f t="shared" si="55"/>
        <v/>
      </c>
      <c r="X378" t="str">
        <f t="shared" si="51"/>
        <v/>
      </c>
      <c r="Y378" s="14" t="str">
        <f t="shared" si="52"/>
        <v/>
      </c>
      <c r="Z378" s="14" t="str">
        <f t="shared" si="53"/>
        <v/>
      </c>
      <c r="AA378" s="15" t="str">
        <f t="shared" si="43"/>
        <v/>
      </c>
    </row>
    <row r="379" spans="1:27" x14ac:dyDescent="0.25">
      <c r="A379" s="3" t="s">
        <v>795</v>
      </c>
      <c r="B379" s="3" t="s">
        <v>796</v>
      </c>
      <c r="C379" s="3">
        <v>33.912886</v>
      </c>
      <c r="D379" s="3">
        <v>-98.490127999999999</v>
      </c>
      <c r="E379" s="3" t="s">
        <v>799</v>
      </c>
      <c r="F379" s="3" t="s">
        <v>1047</v>
      </c>
      <c r="G379" s="3">
        <v>0</v>
      </c>
      <c r="H379" s="3" t="s">
        <v>1108</v>
      </c>
      <c r="I379" s="45" t="s">
        <v>1109</v>
      </c>
      <c r="J379" s="46" t="s">
        <v>1109</v>
      </c>
      <c r="K379" s="3">
        <v>61</v>
      </c>
      <c r="L379" t="str">
        <f t="shared" si="48"/>
        <v/>
      </c>
      <c r="M379" s="19" t="str">
        <f t="shared" si="49"/>
        <v/>
      </c>
      <c r="N379" s="19" t="str">
        <f t="shared" si="46"/>
        <v/>
      </c>
      <c r="O379" s="3" t="str">
        <f t="shared" si="54"/>
        <v/>
      </c>
      <c r="P379" s="54"/>
      <c r="Q379" s="54"/>
      <c r="R379" s="19"/>
      <c r="S379" s="19"/>
      <c r="T379" s="3" t="str">
        <f t="shared" si="50"/>
        <v/>
      </c>
      <c r="U379" s="44" t="str">
        <f t="shared" si="47"/>
        <v/>
      </c>
      <c r="V379" s="3" t="str">
        <f>IF(L377="","",COUNTIF($L$364:L377,"Y"))</f>
        <v/>
      </c>
      <c r="W379" t="str">
        <f t="shared" si="55"/>
        <v/>
      </c>
      <c r="X379" t="str">
        <f t="shared" si="51"/>
        <v/>
      </c>
      <c r="Y379" s="14" t="str">
        <f t="shared" si="52"/>
        <v/>
      </c>
      <c r="Z379" s="14" t="str">
        <f t="shared" si="53"/>
        <v/>
      </c>
      <c r="AA379" s="15" t="str">
        <f t="shared" si="43"/>
        <v/>
      </c>
    </row>
    <row r="380" spans="1:27" x14ac:dyDescent="0.25">
      <c r="A380" s="3" t="s">
        <v>800</v>
      </c>
      <c r="B380" s="3" t="s">
        <v>801</v>
      </c>
      <c r="C380" s="3">
        <v>30.776917999999998</v>
      </c>
      <c r="D380" s="3">
        <v>-94.406785999999997</v>
      </c>
      <c r="E380" s="3" t="s">
        <v>804</v>
      </c>
      <c r="F380" s="3" t="s">
        <v>1048</v>
      </c>
      <c r="G380" s="3">
        <v>0</v>
      </c>
      <c r="H380" s="3" t="s">
        <v>1108</v>
      </c>
      <c r="I380" s="45" t="s">
        <v>1109</v>
      </c>
      <c r="J380" s="46" t="s">
        <v>1109</v>
      </c>
      <c r="K380" s="3">
        <v>62</v>
      </c>
      <c r="L380" t="str">
        <f t="shared" si="48"/>
        <v/>
      </c>
      <c r="M380" s="19" t="str">
        <f t="shared" si="49"/>
        <v/>
      </c>
      <c r="N380" s="19" t="str">
        <f t="shared" si="46"/>
        <v/>
      </c>
      <c r="O380" s="3" t="str">
        <f t="shared" si="54"/>
        <v/>
      </c>
      <c r="P380" s="54"/>
      <c r="Q380" s="54"/>
      <c r="R380" s="19"/>
      <c r="S380" s="19"/>
      <c r="T380" s="3" t="str">
        <f t="shared" si="50"/>
        <v/>
      </c>
      <c r="U380" s="44" t="str">
        <f t="shared" si="47"/>
        <v/>
      </c>
      <c r="V380" s="3" t="str">
        <f>IF(L378="","",COUNTIF($L$364:L378,"Y"))</f>
        <v/>
      </c>
      <c r="W380" t="str">
        <f t="shared" si="55"/>
        <v/>
      </c>
      <c r="X380" t="str">
        <f t="shared" si="51"/>
        <v/>
      </c>
      <c r="Y380" s="14" t="str">
        <f t="shared" si="52"/>
        <v/>
      </c>
      <c r="Z380" s="14" t="str">
        <f t="shared" si="53"/>
        <v/>
      </c>
      <c r="AA380" s="15" t="str">
        <f t="shared" si="43"/>
        <v/>
      </c>
    </row>
    <row r="381" spans="1:27" x14ac:dyDescent="0.25">
      <c r="A381" s="3" t="s">
        <v>805</v>
      </c>
      <c r="B381" s="3" t="s">
        <v>806</v>
      </c>
      <c r="C381" s="3">
        <v>31.791363</v>
      </c>
      <c r="D381" s="3">
        <v>-96.462843000000007</v>
      </c>
      <c r="E381" s="3" t="s">
        <v>809</v>
      </c>
      <c r="F381" s="3" t="s">
        <v>1049</v>
      </c>
      <c r="G381" s="3">
        <v>0</v>
      </c>
      <c r="H381" s="3" t="s">
        <v>1108</v>
      </c>
      <c r="I381" s="45" t="s">
        <v>1109</v>
      </c>
      <c r="J381" s="46" t="s">
        <v>1109</v>
      </c>
      <c r="K381" s="3">
        <v>63</v>
      </c>
      <c r="L381" t="str">
        <f t="shared" si="48"/>
        <v/>
      </c>
      <c r="M381" s="19" t="str">
        <f t="shared" si="49"/>
        <v/>
      </c>
      <c r="N381" s="19" t="str">
        <f t="shared" si="46"/>
        <v/>
      </c>
      <c r="O381" s="3" t="str">
        <f t="shared" si="54"/>
        <v/>
      </c>
      <c r="P381" s="54"/>
      <c r="Q381" s="54"/>
      <c r="R381" s="19"/>
      <c r="S381" s="19"/>
      <c r="T381" s="3" t="str">
        <f t="shared" si="50"/>
        <v/>
      </c>
      <c r="U381" s="44" t="str">
        <f t="shared" si="47"/>
        <v/>
      </c>
      <c r="V381" s="3" t="str">
        <f>IF(L379="","",COUNTIF($L$364:L379,"Y"))</f>
        <v/>
      </c>
      <c r="W381" t="str">
        <f t="shared" si="55"/>
        <v/>
      </c>
      <c r="X381" t="str">
        <f t="shared" si="51"/>
        <v/>
      </c>
      <c r="Y381" s="14" t="str">
        <f t="shared" si="52"/>
        <v/>
      </c>
      <c r="Z381" s="14" t="str">
        <f t="shared" si="53"/>
        <v/>
      </c>
      <c r="AA381" s="15" t="str">
        <f t="shared" si="43"/>
        <v/>
      </c>
    </row>
    <row r="382" spans="1:27" x14ac:dyDescent="0.25">
      <c r="A382" s="3" t="s">
        <v>810</v>
      </c>
      <c r="B382" s="3" t="s">
        <v>811</v>
      </c>
      <c r="C382" s="3">
        <v>26.913187000000001</v>
      </c>
      <c r="D382" s="3">
        <v>-99.277026000000006</v>
      </c>
      <c r="E382" s="3" t="s">
        <v>814</v>
      </c>
      <c r="F382" s="3" t="s">
        <v>1050</v>
      </c>
      <c r="G382" s="3">
        <v>0</v>
      </c>
      <c r="H382" s="3" t="s">
        <v>1108</v>
      </c>
      <c r="I382" s="45" t="s">
        <v>1109</v>
      </c>
      <c r="J382" s="46" t="s">
        <v>1109</v>
      </c>
      <c r="K382" s="3">
        <v>64</v>
      </c>
      <c r="L382" t="str">
        <f t="shared" si="48"/>
        <v/>
      </c>
      <c r="M382" s="19" t="str">
        <f t="shared" si="49"/>
        <v/>
      </c>
      <c r="N382" s="19" t="str">
        <f t="shared" si="46"/>
        <v/>
      </c>
      <c r="O382" s="3" t="str">
        <f t="shared" si="54"/>
        <v/>
      </c>
      <c r="P382" s="54"/>
      <c r="Q382" s="54"/>
      <c r="R382" s="19"/>
      <c r="S382" s="19"/>
      <c r="T382" s="3" t="str">
        <f t="shared" si="50"/>
        <v/>
      </c>
      <c r="U382" s="44" t="str">
        <f t="shared" si="47"/>
        <v/>
      </c>
      <c r="V382" s="3" t="str">
        <f>IF(L380="","",COUNTIF($L$364:L380,"Y"))</f>
        <v/>
      </c>
      <c r="W382" t="str">
        <f t="shared" si="55"/>
        <v/>
      </c>
      <c r="X382" t="str">
        <f t="shared" si="51"/>
        <v/>
      </c>
      <c r="Y382" s="14" t="str">
        <f t="shared" si="52"/>
        <v/>
      </c>
      <c r="Z382" s="14" t="str">
        <f t="shared" si="53"/>
        <v/>
      </c>
      <c r="AA382" s="15" t="str">
        <f t="shared" si="43"/>
        <v/>
      </c>
    </row>
    <row r="383" spans="1:27" x14ac:dyDescent="0.25">
      <c r="A383" s="3"/>
      <c r="B383" s="3"/>
      <c r="C383" s="3"/>
      <c r="D383" s="3"/>
      <c r="E383" s="3"/>
      <c r="F383" s="3"/>
      <c r="G383" s="3"/>
      <c r="H383" s="3"/>
      <c r="I383" s="3"/>
      <c r="J383" s="3"/>
      <c r="L383" s="3"/>
      <c r="M383" s="3"/>
      <c r="N383" s="19" t="str">
        <f t="shared" si="46"/>
        <v/>
      </c>
      <c r="O383" s="3" t="str">
        <f t="shared" si="54"/>
        <v/>
      </c>
      <c r="P383" s="54"/>
      <c r="Q383" s="54"/>
      <c r="R383" s="3"/>
      <c r="S383" s="3"/>
      <c r="T383" s="3"/>
      <c r="U383" s="44" t="str">
        <f t="shared" si="47"/>
        <v/>
      </c>
      <c r="V383" s="3" t="str">
        <f>IF(L381="","",COUNTIF($L$364:L381,"Y"))</f>
        <v/>
      </c>
      <c r="W383" t="str">
        <f t="shared" si="55"/>
        <v/>
      </c>
    </row>
    <row r="384" spans="1:27" x14ac:dyDescent="0.25">
      <c r="A384" s="3"/>
      <c r="B384" s="3"/>
      <c r="C384" s="3"/>
      <c r="D384" s="3"/>
      <c r="E384" s="3"/>
      <c r="F384" s="3"/>
      <c r="G384" s="3"/>
      <c r="H384" s="3"/>
      <c r="I384" s="3"/>
      <c r="J384" s="3"/>
      <c r="L384" s="3"/>
      <c r="M384" s="3"/>
      <c r="N384" s="19" t="str">
        <f t="shared" si="46"/>
        <v/>
      </c>
      <c r="O384" s="3" t="str">
        <f t="shared" si="54"/>
        <v/>
      </c>
      <c r="P384" s="54"/>
      <c r="Q384" s="54"/>
      <c r="R384" s="3"/>
      <c r="S384" s="3"/>
      <c r="T384" s="3"/>
      <c r="U384" s="44" t="str">
        <f t="shared" si="47"/>
        <v/>
      </c>
      <c r="V384" s="3" t="str">
        <f>IF(L382="","",COUNTIF($L$364:L382,"Y"))</f>
        <v/>
      </c>
      <c r="W384" t="str">
        <f t="shared" si="55"/>
        <v/>
      </c>
    </row>
    <row r="385" spans="1:21" x14ac:dyDescent="0.25">
      <c r="A385" s="3" t="s">
        <v>821</v>
      </c>
      <c r="B385" s="3" t="s">
        <v>822</v>
      </c>
      <c r="C385" s="3"/>
      <c r="D385" s="3"/>
      <c r="E385" s="3"/>
      <c r="F385" s="3"/>
      <c r="G385" s="3">
        <v>15000</v>
      </c>
      <c r="H385" s="3"/>
      <c r="I385" s="3"/>
      <c r="J385" s="3"/>
      <c r="L385" s="3"/>
      <c r="M385" s="3"/>
      <c r="N385" s="3" t="str">
        <f t="shared" ref="N385:N387" si="56">IF(K383="Y",G383,"")</f>
        <v/>
      </c>
      <c r="O385" s="3"/>
      <c r="P385" s="54"/>
      <c r="Q385" s="54"/>
      <c r="R385" s="3"/>
      <c r="S385" s="3"/>
      <c r="T385" s="3"/>
      <c r="U385" s="3"/>
    </row>
    <row r="386" spans="1:21" x14ac:dyDescent="0.25">
      <c r="N386" s="3" t="str">
        <f t="shared" si="56"/>
        <v/>
      </c>
      <c r="O386" s="3"/>
      <c r="P386" s="54"/>
      <c r="Q386" s="54"/>
      <c r="U386" s="3"/>
    </row>
    <row r="387" spans="1:21" x14ac:dyDescent="0.25">
      <c r="N387" s="3" t="str">
        <f t="shared" si="56"/>
        <v/>
      </c>
      <c r="O387" s="3"/>
      <c r="P387" s="54"/>
      <c r="Q387" s="54"/>
      <c r="U387" s="3"/>
    </row>
  </sheetData>
  <mergeCells count="465">
    <mergeCell ref="C25:F25"/>
    <mergeCell ref="C26:F26"/>
    <mergeCell ref="C33:F33"/>
    <mergeCell ref="C34:F34"/>
    <mergeCell ref="C35:F35"/>
    <mergeCell ref="C36:F36"/>
    <mergeCell ref="C37:F37"/>
    <mergeCell ref="C38:F38"/>
    <mergeCell ref="C27:F27"/>
    <mergeCell ref="C28:F28"/>
    <mergeCell ref="C29:F29"/>
    <mergeCell ref="C30:F30"/>
    <mergeCell ref="C31:F31"/>
    <mergeCell ref="C32:F32"/>
    <mergeCell ref="C45:F45"/>
    <mergeCell ref="C46:F46"/>
    <mergeCell ref="C47:F47"/>
    <mergeCell ref="C48:F48"/>
    <mergeCell ref="C49:F49"/>
    <mergeCell ref="C50:F50"/>
    <mergeCell ref="C39:F39"/>
    <mergeCell ref="C40:F40"/>
    <mergeCell ref="C41:F41"/>
    <mergeCell ref="C42:F42"/>
    <mergeCell ref="C43:F43"/>
    <mergeCell ref="C44:F44"/>
    <mergeCell ref="C57:F57"/>
    <mergeCell ref="C58:F58"/>
    <mergeCell ref="C59:F59"/>
    <mergeCell ref="C60:F60"/>
    <mergeCell ref="C61:F61"/>
    <mergeCell ref="C62:F62"/>
    <mergeCell ref="C51:F51"/>
    <mergeCell ref="C52:F52"/>
    <mergeCell ref="C53:F53"/>
    <mergeCell ref="C54:F54"/>
    <mergeCell ref="C55:F55"/>
    <mergeCell ref="C56:F56"/>
    <mergeCell ref="C69:F69"/>
    <mergeCell ref="C70:F70"/>
    <mergeCell ref="C71:F71"/>
    <mergeCell ref="C72:F72"/>
    <mergeCell ref="C73:F73"/>
    <mergeCell ref="C74:F74"/>
    <mergeCell ref="C63:F63"/>
    <mergeCell ref="C64:F64"/>
    <mergeCell ref="C65:F65"/>
    <mergeCell ref="C66:F66"/>
    <mergeCell ref="C67:F67"/>
    <mergeCell ref="C68:F68"/>
    <mergeCell ref="C81:F81"/>
    <mergeCell ref="C82:F82"/>
    <mergeCell ref="C83:F83"/>
    <mergeCell ref="C84:F84"/>
    <mergeCell ref="C85:F85"/>
    <mergeCell ref="C86:F86"/>
    <mergeCell ref="C75:F75"/>
    <mergeCell ref="C76:F76"/>
    <mergeCell ref="C77:F77"/>
    <mergeCell ref="C78:F78"/>
    <mergeCell ref="C79:F79"/>
    <mergeCell ref="C80:F80"/>
    <mergeCell ref="C93:F93"/>
    <mergeCell ref="C94:F94"/>
    <mergeCell ref="C95:F95"/>
    <mergeCell ref="C96:F96"/>
    <mergeCell ref="C97:F97"/>
    <mergeCell ref="C98:F98"/>
    <mergeCell ref="C87:F87"/>
    <mergeCell ref="C88:F88"/>
    <mergeCell ref="C89:F89"/>
    <mergeCell ref="C90:F90"/>
    <mergeCell ref="C91:F91"/>
    <mergeCell ref="C92:F92"/>
    <mergeCell ref="C105:F105"/>
    <mergeCell ref="C106:F106"/>
    <mergeCell ref="C107:F107"/>
    <mergeCell ref="C108:F108"/>
    <mergeCell ref="C109:F109"/>
    <mergeCell ref="C110:F110"/>
    <mergeCell ref="C99:F99"/>
    <mergeCell ref="C100:F100"/>
    <mergeCell ref="C101:F101"/>
    <mergeCell ref="C102:F102"/>
    <mergeCell ref="C103:F103"/>
    <mergeCell ref="C104:F104"/>
    <mergeCell ref="C117:F117"/>
    <mergeCell ref="C118:F118"/>
    <mergeCell ref="C119:F119"/>
    <mergeCell ref="C120:F120"/>
    <mergeCell ref="C121:F121"/>
    <mergeCell ref="C122:F122"/>
    <mergeCell ref="C111:F111"/>
    <mergeCell ref="C112:F112"/>
    <mergeCell ref="C113:F113"/>
    <mergeCell ref="C114:F114"/>
    <mergeCell ref="C115:F115"/>
    <mergeCell ref="C116:F116"/>
    <mergeCell ref="C135:F135"/>
    <mergeCell ref="C129:F129"/>
    <mergeCell ref="C130:F130"/>
    <mergeCell ref="C131:F131"/>
    <mergeCell ref="C132:F132"/>
    <mergeCell ref="C133:F133"/>
    <mergeCell ref="C134:F134"/>
    <mergeCell ref="C123:F123"/>
    <mergeCell ref="C124:F124"/>
    <mergeCell ref="C125:F125"/>
    <mergeCell ref="C126:F126"/>
    <mergeCell ref="C127:F127"/>
    <mergeCell ref="C128:F128"/>
    <mergeCell ref="K22:L22"/>
    <mergeCell ref="G23:H23"/>
    <mergeCell ref="I23:J23"/>
    <mergeCell ref="K23:L23"/>
    <mergeCell ref="G24:H24"/>
    <mergeCell ref="I24:J24"/>
    <mergeCell ref="K24:L24"/>
    <mergeCell ref="C20:F20"/>
    <mergeCell ref="G20:H20"/>
    <mergeCell ref="I20:J20"/>
    <mergeCell ref="K20:L20"/>
    <mergeCell ref="G21:H21"/>
    <mergeCell ref="I21:J21"/>
    <mergeCell ref="K21:L21"/>
    <mergeCell ref="G22:H22"/>
    <mergeCell ref="I22:J22"/>
    <mergeCell ref="C21:F21"/>
    <mergeCell ref="C22:F22"/>
    <mergeCell ref="C23:F23"/>
    <mergeCell ref="C24:F24"/>
    <mergeCell ref="K28:L28"/>
    <mergeCell ref="G29:H29"/>
    <mergeCell ref="I29:J29"/>
    <mergeCell ref="K29:L29"/>
    <mergeCell ref="G30:H30"/>
    <mergeCell ref="I30:J30"/>
    <mergeCell ref="K30:L30"/>
    <mergeCell ref="K25:L25"/>
    <mergeCell ref="G26:H26"/>
    <mergeCell ref="I26:J26"/>
    <mergeCell ref="K26:L26"/>
    <mergeCell ref="G27:H27"/>
    <mergeCell ref="I27:J27"/>
    <mergeCell ref="K27:L27"/>
    <mergeCell ref="G25:H25"/>
    <mergeCell ref="I25:J25"/>
    <mergeCell ref="G28:H28"/>
    <mergeCell ref="I28:J28"/>
    <mergeCell ref="K34:L34"/>
    <mergeCell ref="G35:H35"/>
    <mergeCell ref="I35:J35"/>
    <mergeCell ref="K35:L35"/>
    <mergeCell ref="G36:H36"/>
    <mergeCell ref="I36:J36"/>
    <mergeCell ref="K36:L36"/>
    <mergeCell ref="K31:L31"/>
    <mergeCell ref="G32:H32"/>
    <mergeCell ref="I32:J32"/>
    <mergeCell ref="K32:L32"/>
    <mergeCell ref="G33:H33"/>
    <mergeCell ref="I33:J33"/>
    <mergeCell ref="K33:L33"/>
    <mergeCell ref="G31:H31"/>
    <mergeCell ref="I31:J31"/>
    <mergeCell ref="G34:H34"/>
    <mergeCell ref="I34:J34"/>
    <mergeCell ref="G39:H39"/>
    <mergeCell ref="I39:J39"/>
    <mergeCell ref="K39:L39"/>
    <mergeCell ref="G40:H40"/>
    <mergeCell ref="I40:J40"/>
    <mergeCell ref="K40:L40"/>
    <mergeCell ref="G37:H37"/>
    <mergeCell ref="I37:J37"/>
    <mergeCell ref="K37:L37"/>
    <mergeCell ref="G38:H38"/>
    <mergeCell ref="I38:J38"/>
    <mergeCell ref="K38:L38"/>
    <mergeCell ref="G43:H43"/>
    <mergeCell ref="I43:J43"/>
    <mergeCell ref="K43:L43"/>
    <mergeCell ref="G44:H44"/>
    <mergeCell ref="I44:J44"/>
    <mergeCell ref="K44:L44"/>
    <mergeCell ref="G41:H41"/>
    <mergeCell ref="I41:J41"/>
    <mergeCell ref="K41:L41"/>
    <mergeCell ref="G42:H42"/>
    <mergeCell ref="I42:J42"/>
    <mergeCell ref="K42:L42"/>
    <mergeCell ref="G47:H47"/>
    <mergeCell ref="I47:J47"/>
    <mergeCell ref="K47:L47"/>
    <mergeCell ref="G48:H48"/>
    <mergeCell ref="I48:J48"/>
    <mergeCell ref="K48:L48"/>
    <mergeCell ref="G45:H45"/>
    <mergeCell ref="I45:J45"/>
    <mergeCell ref="K45:L45"/>
    <mergeCell ref="G46:H46"/>
    <mergeCell ref="I46:J46"/>
    <mergeCell ref="K46:L46"/>
    <mergeCell ref="G51:H51"/>
    <mergeCell ref="I51:J51"/>
    <mergeCell ref="K51:L51"/>
    <mergeCell ref="G52:H52"/>
    <mergeCell ref="I52:J52"/>
    <mergeCell ref="K52:L52"/>
    <mergeCell ref="G49:H49"/>
    <mergeCell ref="I49:J49"/>
    <mergeCell ref="K49:L49"/>
    <mergeCell ref="G50:H50"/>
    <mergeCell ref="I50:J50"/>
    <mergeCell ref="K50:L50"/>
    <mergeCell ref="G55:H55"/>
    <mergeCell ref="I55:J55"/>
    <mergeCell ref="K55:L55"/>
    <mergeCell ref="G56:H56"/>
    <mergeCell ref="I56:J56"/>
    <mergeCell ref="K56:L56"/>
    <mergeCell ref="G53:H53"/>
    <mergeCell ref="I53:J53"/>
    <mergeCell ref="K53:L53"/>
    <mergeCell ref="G54:H54"/>
    <mergeCell ref="I54:J54"/>
    <mergeCell ref="K54:L54"/>
    <mergeCell ref="G59:H59"/>
    <mergeCell ref="I59:J59"/>
    <mergeCell ref="K59:L59"/>
    <mergeCell ref="G60:H60"/>
    <mergeCell ref="I60:J60"/>
    <mergeCell ref="K60:L60"/>
    <mergeCell ref="G57:H57"/>
    <mergeCell ref="I57:J57"/>
    <mergeCell ref="K57:L57"/>
    <mergeCell ref="G58:H58"/>
    <mergeCell ref="I58:J58"/>
    <mergeCell ref="K58:L58"/>
    <mergeCell ref="G63:H63"/>
    <mergeCell ref="I63:J63"/>
    <mergeCell ref="K63:L63"/>
    <mergeCell ref="G64:H64"/>
    <mergeCell ref="I64:J64"/>
    <mergeCell ref="K64:L64"/>
    <mergeCell ref="G61:H61"/>
    <mergeCell ref="I61:J61"/>
    <mergeCell ref="K61:L61"/>
    <mergeCell ref="G62:H62"/>
    <mergeCell ref="I62:J62"/>
    <mergeCell ref="K62:L62"/>
    <mergeCell ref="G67:H67"/>
    <mergeCell ref="I67:J67"/>
    <mergeCell ref="K67:L67"/>
    <mergeCell ref="G68:H68"/>
    <mergeCell ref="I68:J68"/>
    <mergeCell ref="K68:L68"/>
    <mergeCell ref="G65:H65"/>
    <mergeCell ref="I65:J65"/>
    <mergeCell ref="K65:L65"/>
    <mergeCell ref="G66:H66"/>
    <mergeCell ref="I66:J66"/>
    <mergeCell ref="K66:L66"/>
    <mergeCell ref="G71:H71"/>
    <mergeCell ref="I71:J71"/>
    <mergeCell ref="K71:L71"/>
    <mergeCell ref="G72:H72"/>
    <mergeCell ref="I72:J72"/>
    <mergeCell ref="K72:L72"/>
    <mergeCell ref="G69:H69"/>
    <mergeCell ref="I69:J69"/>
    <mergeCell ref="K69:L69"/>
    <mergeCell ref="G70:H70"/>
    <mergeCell ref="I70:J70"/>
    <mergeCell ref="K70:L70"/>
    <mergeCell ref="G75:H75"/>
    <mergeCell ref="I75:J75"/>
    <mergeCell ref="K75:L75"/>
    <mergeCell ref="G76:H76"/>
    <mergeCell ref="I76:J76"/>
    <mergeCell ref="K76:L76"/>
    <mergeCell ref="G73:H73"/>
    <mergeCell ref="I73:J73"/>
    <mergeCell ref="K73:L73"/>
    <mergeCell ref="G74:H74"/>
    <mergeCell ref="I74:J74"/>
    <mergeCell ref="K74:L74"/>
    <mergeCell ref="G79:H79"/>
    <mergeCell ref="I79:J79"/>
    <mergeCell ref="K79:L79"/>
    <mergeCell ref="G80:H80"/>
    <mergeCell ref="I80:J80"/>
    <mergeCell ref="K80:L80"/>
    <mergeCell ref="G77:H77"/>
    <mergeCell ref="I77:J77"/>
    <mergeCell ref="K77:L77"/>
    <mergeCell ref="G78:H78"/>
    <mergeCell ref="I78:J78"/>
    <mergeCell ref="K78:L78"/>
    <mergeCell ref="G83:H83"/>
    <mergeCell ref="I83:J83"/>
    <mergeCell ref="K83:L83"/>
    <mergeCell ref="G84:H84"/>
    <mergeCell ref="I84:J84"/>
    <mergeCell ref="K84:L84"/>
    <mergeCell ref="G81:H81"/>
    <mergeCell ref="I81:J81"/>
    <mergeCell ref="K81:L81"/>
    <mergeCell ref="G82:H82"/>
    <mergeCell ref="I82:J82"/>
    <mergeCell ref="K82:L82"/>
    <mergeCell ref="G87:H87"/>
    <mergeCell ref="I87:J87"/>
    <mergeCell ref="K87:L87"/>
    <mergeCell ref="G88:H88"/>
    <mergeCell ref="I88:J88"/>
    <mergeCell ref="K88:L88"/>
    <mergeCell ref="G85:H85"/>
    <mergeCell ref="I85:J85"/>
    <mergeCell ref="K85:L85"/>
    <mergeCell ref="G86:H86"/>
    <mergeCell ref="I86:J86"/>
    <mergeCell ref="K86:L86"/>
    <mergeCell ref="G91:H91"/>
    <mergeCell ref="I91:J91"/>
    <mergeCell ref="K91:L91"/>
    <mergeCell ref="G92:H92"/>
    <mergeCell ref="I92:J92"/>
    <mergeCell ref="K92:L92"/>
    <mergeCell ref="G89:H89"/>
    <mergeCell ref="I89:J89"/>
    <mergeCell ref="K89:L89"/>
    <mergeCell ref="G90:H90"/>
    <mergeCell ref="I90:J90"/>
    <mergeCell ref="K90:L90"/>
    <mergeCell ref="G95:H95"/>
    <mergeCell ref="I95:J95"/>
    <mergeCell ref="K95:L95"/>
    <mergeCell ref="G96:H96"/>
    <mergeCell ref="I96:J96"/>
    <mergeCell ref="K96:L96"/>
    <mergeCell ref="G93:H93"/>
    <mergeCell ref="I93:J93"/>
    <mergeCell ref="K93:L93"/>
    <mergeCell ref="G94:H94"/>
    <mergeCell ref="I94:J94"/>
    <mergeCell ref="K94:L94"/>
    <mergeCell ref="G99:H99"/>
    <mergeCell ref="I99:J99"/>
    <mergeCell ref="K99:L99"/>
    <mergeCell ref="G100:H100"/>
    <mergeCell ref="I100:J100"/>
    <mergeCell ref="K100:L100"/>
    <mergeCell ref="G97:H97"/>
    <mergeCell ref="I97:J97"/>
    <mergeCell ref="K97:L97"/>
    <mergeCell ref="G98:H98"/>
    <mergeCell ref="I98:J98"/>
    <mergeCell ref="K98:L98"/>
    <mergeCell ref="G103:H103"/>
    <mergeCell ref="I103:J103"/>
    <mergeCell ref="K103:L103"/>
    <mergeCell ref="G104:H104"/>
    <mergeCell ref="I104:J104"/>
    <mergeCell ref="K104:L104"/>
    <mergeCell ref="G101:H101"/>
    <mergeCell ref="I101:J101"/>
    <mergeCell ref="K101:L101"/>
    <mergeCell ref="G102:H102"/>
    <mergeCell ref="I102:J102"/>
    <mergeCell ref="K102:L102"/>
    <mergeCell ref="G107:H107"/>
    <mergeCell ref="I107:J107"/>
    <mergeCell ref="K107:L107"/>
    <mergeCell ref="G108:H108"/>
    <mergeCell ref="I108:J108"/>
    <mergeCell ref="K108:L108"/>
    <mergeCell ref="G105:H105"/>
    <mergeCell ref="I105:J105"/>
    <mergeCell ref="K105:L105"/>
    <mergeCell ref="G106:H106"/>
    <mergeCell ref="I106:J106"/>
    <mergeCell ref="K106:L106"/>
    <mergeCell ref="G111:H111"/>
    <mergeCell ref="I111:J111"/>
    <mergeCell ref="K111:L111"/>
    <mergeCell ref="G112:H112"/>
    <mergeCell ref="I112:J112"/>
    <mergeCell ref="K112:L112"/>
    <mergeCell ref="G109:H109"/>
    <mergeCell ref="I109:J109"/>
    <mergeCell ref="K109:L109"/>
    <mergeCell ref="G110:H110"/>
    <mergeCell ref="I110:J110"/>
    <mergeCell ref="K110:L110"/>
    <mergeCell ref="G115:H115"/>
    <mergeCell ref="I115:J115"/>
    <mergeCell ref="K115:L115"/>
    <mergeCell ref="G116:H116"/>
    <mergeCell ref="I116:J116"/>
    <mergeCell ref="K116:L116"/>
    <mergeCell ref="G113:H113"/>
    <mergeCell ref="I113:J113"/>
    <mergeCell ref="K113:L113"/>
    <mergeCell ref="G114:H114"/>
    <mergeCell ref="I114:J114"/>
    <mergeCell ref="K114:L114"/>
    <mergeCell ref="G119:H119"/>
    <mergeCell ref="I119:J119"/>
    <mergeCell ref="K119:L119"/>
    <mergeCell ref="G120:H120"/>
    <mergeCell ref="I120:J120"/>
    <mergeCell ref="K120:L120"/>
    <mergeCell ref="G117:H117"/>
    <mergeCell ref="I117:J117"/>
    <mergeCell ref="K117:L117"/>
    <mergeCell ref="G118:H118"/>
    <mergeCell ref="I118:J118"/>
    <mergeCell ref="K118:L118"/>
    <mergeCell ref="G123:H123"/>
    <mergeCell ref="I123:J123"/>
    <mergeCell ref="K123:L123"/>
    <mergeCell ref="G124:H124"/>
    <mergeCell ref="I124:J124"/>
    <mergeCell ref="K124:L124"/>
    <mergeCell ref="G121:H121"/>
    <mergeCell ref="I121:J121"/>
    <mergeCell ref="K121:L121"/>
    <mergeCell ref="G122:H122"/>
    <mergeCell ref="I122:J122"/>
    <mergeCell ref="K122:L122"/>
    <mergeCell ref="K127:L127"/>
    <mergeCell ref="G128:H128"/>
    <mergeCell ref="I128:J128"/>
    <mergeCell ref="K128:L128"/>
    <mergeCell ref="G125:H125"/>
    <mergeCell ref="I125:J125"/>
    <mergeCell ref="K125:L125"/>
    <mergeCell ref="G126:H126"/>
    <mergeCell ref="I126:J126"/>
    <mergeCell ref="K126:L126"/>
    <mergeCell ref="K7:L8"/>
    <mergeCell ref="G135:H135"/>
    <mergeCell ref="I135:J135"/>
    <mergeCell ref="K135:L135"/>
    <mergeCell ref="G133:H133"/>
    <mergeCell ref="I133:J133"/>
    <mergeCell ref="K133:L133"/>
    <mergeCell ref="G134:H134"/>
    <mergeCell ref="I134:J134"/>
    <mergeCell ref="K134:L134"/>
    <mergeCell ref="G131:H131"/>
    <mergeCell ref="I131:J131"/>
    <mergeCell ref="K131:L131"/>
    <mergeCell ref="G132:H132"/>
    <mergeCell ref="I132:J132"/>
    <mergeCell ref="K132:L132"/>
    <mergeCell ref="G129:H129"/>
    <mergeCell ref="I129:J129"/>
    <mergeCell ref="K129:L129"/>
    <mergeCell ref="G130:H130"/>
    <mergeCell ref="I130:J130"/>
    <mergeCell ref="K130:L130"/>
    <mergeCell ref="G127:H127"/>
    <mergeCell ref="I127:J127"/>
  </mergeCells>
  <conditionalFormatting sqref="C1">
    <cfRule type="expression" dxfId="8" priority="8">
      <formula>"left(c1,2)=""30"""</formula>
    </cfRule>
  </conditionalFormatting>
  <conditionalFormatting sqref="F3">
    <cfRule type="expression" dxfId="7" priority="9">
      <formula>LEFT(C1,2)="30"</formula>
    </cfRule>
  </conditionalFormatting>
  <conditionalFormatting sqref="Q4:Q7">
    <cfRule type="expression" dxfId="6" priority="1">
      <formula>P4=0</formula>
    </cfRule>
  </conditionalFormatting>
  <conditionalFormatting sqref="T2:T8">
    <cfRule type="expression" dxfId="5" priority="2">
      <formula>S2=0</formula>
    </cfRule>
  </conditionalFormatting>
  <conditionalFormatting sqref="W2:W9">
    <cfRule type="expression" dxfId="4" priority="3">
      <formula>V2=0</formula>
    </cfRule>
  </conditionalFormatting>
  <dataValidations count="1">
    <dataValidation type="list" allowBlank="1" showInputMessage="1" showErrorMessage="1" sqref="C1" xr:uid="{A5C913B6-EB10-4974-A33D-0B605746CFED}">
      <formula1>"58 Hour, 30 Hour"</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7C095-E85A-4B1C-A854-33BD78CEF4E2}">
  <dimension ref="A1:AJ140"/>
  <sheetViews>
    <sheetView workbookViewId="0">
      <selection activeCell="C25" sqref="C25:E27"/>
    </sheetView>
  </sheetViews>
  <sheetFormatPr defaultColWidth="9.140625" defaultRowHeight="15" x14ac:dyDescent="0.25"/>
  <cols>
    <col min="1" max="27" width="4.7109375" style="66" customWidth="1"/>
    <col min="28" max="28" width="5" style="66" customWidth="1"/>
    <col min="29" max="332" width="4.7109375" style="66" customWidth="1"/>
    <col min="333" max="16384" width="9.140625" style="66"/>
  </cols>
  <sheetData>
    <row r="1" spans="1:36" ht="15.75" thickBot="1" x14ac:dyDescent="0.3">
      <c r="A1" s="192" t="s">
        <v>1105</v>
      </c>
      <c r="B1" s="193"/>
      <c r="C1" s="193"/>
      <c r="D1" s="193"/>
      <c r="E1" s="194" t="s">
        <v>1120</v>
      </c>
      <c r="F1" s="195"/>
      <c r="G1" s="196"/>
      <c r="H1" s="69"/>
      <c r="I1" s="69"/>
      <c r="J1" s="200" t="s">
        <v>1125</v>
      </c>
      <c r="K1" s="201"/>
      <c r="L1" s="201"/>
      <c r="M1" s="201"/>
      <c r="N1" s="204" t="s">
        <v>1126</v>
      </c>
      <c r="O1" s="204"/>
      <c r="P1" s="205"/>
      <c r="Q1" s="69"/>
      <c r="R1" s="176" t="s">
        <v>1097</v>
      </c>
      <c r="S1" s="177"/>
      <c r="T1" s="177"/>
      <c r="U1" s="178"/>
      <c r="V1" s="69"/>
      <c r="W1" s="69"/>
      <c r="X1" s="69"/>
      <c r="Y1" s="69"/>
      <c r="Z1" s="69"/>
      <c r="AA1" s="69"/>
      <c r="AB1" s="69"/>
      <c r="AC1" s="69"/>
      <c r="AD1" s="69"/>
      <c r="AE1" s="69"/>
      <c r="AF1" s="69"/>
      <c r="AG1" s="69"/>
      <c r="AH1" s="69"/>
      <c r="AI1" s="69"/>
      <c r="AJ1" s="69"/>
    </row>
    <row r="2" spans="1:36" ht="15.75" thickBot="1" x14ac:dyDescent="0.3">
      <c r="A2" s="168"/>
      <c r="B2" s="169"/>
      <c r="C2" s="169"/>
      <c r="D2" s="169"/>
      <c r="E2" s="197"/>
      <c r="F2" s="198"/>
      <c r="G2" s="199"/>
      <c r="H2" s="69"/>
      <c r="I2" s="69"/>
      <c r="J2" s="202"/>
      <c r="K2" s="203"/>
      <c r="L2" s="203"/>
      <c r="M2" s="203"/>
      <c r="N2" s="206"/>
      <c r="O2" s="206"/>
      <c r="P2" s="207"/>
      <c r="Q2" s="69"/>
      <c r="R2" s="208">
        <v>15000</v>
      </c>
      <c r="S2" s="208"/>
      <c r="T2" s="208"/>
      <c r="U2" s="208"/>
      <c r="V2" s="69"/>
      <c r="W2" s="69"/>
      <c r="X2" s="108" t="str">
        <f>IF(W3="N","YOU HAVE NOT YET CLAIMED 8 OIL DERRICKS, ONE FROM EACH OIL REGION, WHICH IS REQUIRED FOR FINISHER STATUS","")</f>
        <v>YOU HAVE NOT YET CLAIMED 8 OIL DERRICKS, ONE FROM EACH OIL REGION, WHICH IS REQUIRED FOR FINISHER STATUS</v>
      </c>
      <c r="Y2" s="108"/>
      <c r="Z2" s="108"/>
      <c r="AA2" s="108"/>
      <c r="AB2" s="108"/>
      <c r="AC2" s="108"/>
      <c r="AD2" s="108"/>
      <c r="AE2" s="108"/>
      <c r="AF2" s="108"/>
      <c r="AG2" s="108"/>
      <c r="AH2" s="108"/>
      <c r="AI2" s="108"/>
      <c r="AJ2" s="69"/>
    </row>
    <row r="3" spans="1:36" ht="15.75" thickBot="1" x14ac:dyDescent="0.3">
      <c r="A3" s="69"/>
      <c r="B3" s="69"/>
      <c r="C3" s="69"/>
      <c r="D3" s="69"/>
      <c r="E3" s="69"/>
      <c r="F3" s="69"/>
      <c r="G3" s="69"/>
      <c r="H3" s="69"/>
      <c r="I3" s="69"/>
      <c r="J3" s="165" t="s">
        <v>344</v>
      </c>
      <c r="K3" s="166"/>
      <c r="L3" s="166"/>
      <c r="M3" s="167"/>
      <c r="N3" s="210">
        <f>'SCORE(1)'!R1</f>
        <v>0</v>
      </c>
      <c r="O3" s="211"/>
      <c r="P3" s="211"/>
      <c r="Q3" s="69"/>
      <c r="R3" s="209"/>
      <c r="S3" s="209"/>
      <c r="T3" s="209"/>
      <c r="U3" s="209"/>
      <c r="V3" s="69"/>
      <c r="W3" s="93" t="str">
        <f>IF(VALUE(LEFT(E1,2))=58,'SCORE(1)'!S7,"")</f>
        <v>N</v>
      </c>
      <c r="X3" s="108"/>
      <c r="Y3" s="108"/>
      <c r="Z3" s="108"/>
      <c r="AA3" s="108"/>
      <c r="AB3" s="108"/>
      <c r="AC3" s="108"/>
      <c r="AD3" s="108"/>
      <c r="AE3" s="108"/>
      <c r="AF3" s="108"/>
      <c r="AG3" s="108"/>
      <c r="AH3" s="108"/>
      <c r="AI3" s="108"/>
      <c r="AJ3" s="69"/>
    </row>
    <row r="4" spans="1:36" ht="16.5" thickBot="1" x14ac:dyDescent="0.3">
      <c r="A4" s="179" t="s">
        <v>818</v>
      </c>
      <c r="B4" s="180"/>
      <c r="C4" s="180"/>
      <c r="D4" s="142" t="s">
        <v>1106</v>
      </c>
      <c r="E4" s="142"/>
      <c r="F4" s="67"/>
      <c r="G4" s="67"/>
      <c r="H4" s="68"/>
      <c r="I4" s="69"/>
      <c r="J4" s="165"/>
      <c r="K4" s="166"/>
      <c r="L4" s="166"/>
      <c r="M4" s="167"/>
      <c r="N4" s="171"/>
      <c r="O4" s="172"/>
      <c r="P4" s="172"/>
      <c r="Q4" s="69"/>
      <c r="R4" s="176" t="s">
        <v>1127</v>
      </c>
      <c r="S4" s="177"/>
      <c r="T4" s="177"/>
      <c r="U4" s="178"/>
      <c r="V4" s="69"/>
      <c r="W4" s="93"/>
      <c r="X4" s="108" t="str">
        <f>IF(W5="N","YOU HAVE NOT YET CLAIMED 3 OIL DERRICKS FROM 3 SEPARATE OIL REGIONS, WHICH IS REQUIRED FOR FINISHER STATUS","")</f>
        <v/>
      </c>
      <c r="Y4" s="108"/>
      <c r="Z4" s="108"/>
      <c r="AA4" s="108"/>
      <c r="AB4" s="108"/>
      <c r="AC4" s="108"/>
      <c r="AD4" s="108"/>
      <c r="AE4" s="108"/>
      <c r="AF4" s="108"/>
      <c r="AG4" s="108"/>
      <c r="AH4" s="108"/>
      <c r="AI4" s="108"/>
      <c r="AJ4" s="69"/>
    </row>
    <row r="5" spans="1:36" x14ac:dyDescent="0.25">
      <c r="A5" s="133" t="str">
        <f>IF(VALUE(LEFT(E1,2))=30,IF(COUNTIF($C$25:$C$139,"REST(2)")=1,"REST(2)",""),IF(COUNTIF($C$25:$C$139,"REST(1)")=1,"REST(1)",""))</f>
        <v/>
      </c>
      <c r="B5" s="134"/>
      <c r="C5" s="135"/>
      <c r="D5" s="121"/>
      <c r="E5" s="184"/>
      <c r="F5" s="185" t="str">
        <f>IF(A5="REST(2)","enter min of REST(2)",IF(A5="","","enter min of REST(1)"))</f>
        <v/>
      </c>
      <c r="G5" s="186"/>
      <c r="H5" s="187"/>
      <c r="I5" s="69"/>
      <c r="J5" s="165" t="s">
        <v>333</v>
      </c>
      <c r="K5" s="166"/>
      <c r="L5" s="166"/>
      <c r="M5" s="167"/>
      <c r="N5" s="171">
        <f>'SCORE(1)'!R2</f>
        <v>0</v>
      </c>
      <c r="O5" s="172"/>
      <c r="P5" s="172"/>
      <c r="Q5" s="69"/>
      <c r="R5" s="153">
        <f>IF(AD11="E",0,IF(A9="",(D7*2)*(4^G12),(D7*2)*(2^G12)))</f>
        <v>0</v>
      </c>
      <c r="S5" s="153"/>
      <c r="T5" s="153"/>
      <c r="U5" s="153"/>
      <c r="V5" s="69"/>
      <c r="W5" s="93" t="str">
        <f>IF(VALUE(LEFT(E1,2))=30,'SCORE(1)'!S8,"")</f>
        <v/>
      </c>
      <c r="X5" s="108"/>
      <c r="Y5" s="108"/>
      <c r="Z5" s="108"/>
      <c r="AA5" s="108"/>
      <c r="AB5" s="108"/>
      <c r="AC5" s="108"/>
      <c r="AD5" s="108"/>
      <c r="AE5" s="108"/>
      <c r="AF5" s="108"/>
      <c r="AG5" s="108"/>
      <c r="AH5" s="108"/>
      <c r="AI5" s="108"/>
      <c r="AJ5" s="69"/>
    </row>
    <row r="6" spans="1:36" ht="15.75" thickBot="1" x14ac:dyDescent="0.3">
      <c r="A6" s="133" t="str">
        <f>IF(AND(VALUE(LEFT(E1,2))=58,A5=""),"",IF(VALUE(LEFT(E1,2))=30,"",IF(COUNTIF($C$25:$C$139,"REST(2)")=1,"REST(2)","")))</f>
        <v/>
      </c>
      <c r="B6" s="134"/>
      <c r="C6" s="135"/>
      <c r="D6" s="188"/>
      <c r="E6" s="188"/>
      <c r="F6" s="189" t="str">
        <f>IF(A6="","","enter min of REST(2)")</f>
        <v/>
      </c>
      <c r="G6" s="190"/>
      <c r="H6" s="191"/>
      <c r="I6" s="69"/>
      <c r="J6" s="165"/>
      <c r="K6" s="166"/>
      <c r="L6" s="166"/>
      <c r="M6" s="167"/>
      <c r="N6" s="171"/>
      <c r="O6" s="172"/>
      <c r="P6" s="172"/>
      <c r="Q6" s="69"/>
      <c r="R6" s="183"/>
      <c r="S6" s="183"/>
      <c r="T6" s="183"/>
      <c r="U6" s="183"/>
      <c r="V6" s="69"/>
      <c r="W6" s="93"/>
      <c r="X6" s="69"/>
      <c r="Y6" s="69"/>
      <c r="Z6" s="69"/>
      <c r="AA6" s="69"/>
      <c r="AB6" s="69"/>
      <c r="AC6" s="69"/>
      <c r="AD6" s="69"/>
      <c r="AE6" s="69"/>
      <c r="AF6" s="69"/>
      <c r="AG6" s="69"/>
      <c r="AH6" s="69"/>
      <c r="AI6" s="69"/>
      <c r="AJ6" s="69"/>
    </row>
    <row r="7" spans="1:36" ht="15.75" thickBot="1" x14ac:dyDescent="0.3">
      <c r="A7" s="100" t="s">
        <v>1064</v>
      </c>
      <c r="B7" s="101"/>
      <c r="C7" s="102"/>
      <c r="D7" s="98">
        <f>IF(VALUE(LEFT(E1,2))=30,IF(D5&gt;480,480,D5),IF(D5&gt;480,480,D5)+IF(D6&gt;480,480,D6))</f>
        <v>0</v>
      </c>
      <c r="E7" s="99"/>
      <c r="F7" s="69"/>
      <c r="G7" s="69"/>
      <c r="H7" s="69"/>
      <c r="I7" s="69"/>
      <c r="J7" s="165" t="s">
        <v>1136</v>
      </c>
      <c r="K7" s="166"/>
      <c r="L7" s="166"/>
      <c r="M7" s="167"/>
      <c r="N7" s="171">
        <f>'SCORE(1)'!R3</f>
        <v>0</v>
      </c>
      <c r="O7" s="172"/>
      <c r="P7" s="172"/>
      <c r="Q7" s="69"/>
      <c r="R7" s="176" t="s">
        <v>1123</v>
      </c>
      <c r="S7" s="177"/>
      <c r="T7" s="177"/>
      <c r="U7" s="178"/>
      <c r="V7" s="69"/>
      <c r="W7" s="93"/>
      <c r="X7" s="69"/>
      <c r="Y7" s="69"/>
      <c r="Z7" s="69"/>
      <c r="AA7" s="69"/>
      <c r="AB7" s="69"/>
      <c r="AC7" s="69"/>
      <c r="AD7" s="69"/>
      <c r="AE7" s="69"/>
      <c r="AF7" s="69"/>
      <c r="AG7" s="69"/>
      <c r="AH7" s="69"/>
      <c r="AI7" s="69"/>
      <c r="AJ7" s="69"/>
    </row>
    <row r="8" spans="1:36" ht="16.5" thickBot="1" x14ac:dyDescent="0.3">
      <c r="A8" s="179" t="s">
        <v>1128</v>
      </c>
      <c r="B8" s="180"/>
      <c r="C8" s="180"/>
      <c r="D8" s="181" t="s">
        <v>1129</v>
      </c>
      <c r="E8" s="181"/>
      <c r="F8" s="181"/>
      <c r="G8" s="181" t="s">
        <v>1115</v>
      </c>
      <c r="H8" s="182"/>
      <c r="I8" s="69"/>
      <c r="J8" s="165"/>
      <c r="K8" s="166"/>
      <c r="L8" s="166"/>
      <c r="M8" s="167"/>
      <c r="N8" s="171"/>
      <c r="O8" s="172"/>
      <c r="P8" s="172"/>
      <c r="Q8" s="69"/>
      <c r="R8" s="153">
        <f>SUM(I15:K18,U15:W21,AG15:AI22)</f>
        <v>0</v>
      </c>
      <c r="S8" s="153"/>
      <c r="T8" s="153"/>
      <c r="U8" s="153"/>
      <c r="V8" s="69"/>
      <c r="W8" s="69"/>
      <c r="X8" s="156" t="s">
        <v>1130</v>
      </c>
      <c r="Y8" s="157"/>
      <c r="Z8" s="157"/>
      <c r="AA8" s="157"/>
      <c r="AB8" s="157"/>
      <c r="AC8" s="158"/>
      <c r="AD8" s="93">
        <f>IF(VALUE(LEFT(E1,2))=58,58,30)</f>
        <v>58</v>
      </c>
      <c r="AE8" s="69"/>
      <c r="AF8" s="109" t="str">
        <f>IF(AND(AD8=58,AD9="N"),"Remember, you must have two rest bonuses with a minimum of 240 minutes each",IF(AND(AD8=30,AD10="N"),"Remember, you must have one rest bonus with a minimum of 240 minutes",""))</f>
        <v>Remember, you must have two rest bonuses with a minimum of 240 minutes each</v>
      </c>
      <c r="AG8" s="109"/>
      <c r="AH8" s="109"/>
      <c r="AI8" s="109"/>
      <c r="AJ8" s="69"/>
    </row>
    <row r="9" spans="1:36" ht="15.75" thickBot="1" x14ac:dyDescent="0.3">
      <c r="A9" s="136" t="str">
        <f>IF(VALUE(LEFT(E1,2))=30,"","Thursday Meal")</f>
        <v>Thursday Meal</v>
      </c>
      <c r="B9" s="137"/>
      <c r="C9" s="138"/>
      <c r="D9" s="162" t="str">
        <f>IFERROR(IF(VALUE(LEFT(E1,2))=30,"",VLOOKUP("MEAL1",'SCORE(1)'!$Q$11:$R125,2,FALSE)),"")</f>
        <v/>
      </c>
      <c r="E9" s="163"/>
      <c r="F9" s="164"/>
      <c r="G9" s="146" t="str">
        <f>IF(A9="","",IF(COUNTIF($C$25:$C$139,D9)=1,1,""))</f>
        <v/>
      </c>
      <c r="H9" s="146"/>
      <c r="I9" s="69"/>
      <c r="J9" s="165" t="s">
        <v>343</v>
      </c>
      <c r="K9" s="166"/>
      <c r="L9" s="166"/>
      <c r="M9" s="167"/>
      <c r="N9" s="171">
        <f>'SCORE(1)'!R4</f>
        <v>0</v>
      </c>
      <c r="O9" s="172"/>
      <c r="P9" s="172"/>
      <c r="Q9" s="69"/>
      <c r="R9" s="183"/>
      <c r="S9" s="183"/>
      <c r="T9" s="183"/>
      <c r="U9" s="183"/>
      <c r="V9" s="69"/>
      <c r="W9" s="69"/>
      <c r="X9" s="159"/>
      <c r="Y9" s="160"/>
      <c r="Z9" s="160"/>
      <c r="AA9" s="160"/>
      <c r="AB9" s="160"/>
      <c r="AC9" s="161"/>
      <c r="AD9" s="93" t="str">
        <f>IF(AND(D5&gt;=240,D6&gt;=240),"Y","N")</f>
        <v>N</v>
      </c>
      <c r="AE9" s="69"/>
      <c r="AF9" s="109"/>
      <c r="AG9" s="109"/>
      <c r="AH9" s="109"/>
      <c r="AI9" s="109"/>
      <c r="AJ9" s="69"/>
    </row>
    <row r="10" spans="1:36" ht="15.75" thickBot="1" x14ac:dyDescent="0.3">
      <c r="A10" s="136" t="s">
        <v>1131</v>
      </c>
      <c r="B10" s="137"/>
      <c r="C10" s="138"/>
      <c r="D10" s="173" t="str">
        <f>IFERROR(IF(A9="",VLOOKUP("MEAL1",'SCORE(1)'!$Q$11:$R126,2,FALSE),VLOOKUP("MEAL2",'SCORE(1)'!$Q$11:$R126,2,FALSE)),"")</f>
        <v/>
      </c>
      <c r="E10" s="174"/>
      <c r="F10" s="175"/>
      <c r="G10" s="146" t="str">
        <f t="shared" ref="G10:G11" si="0">IF(A10="","",IF(COUNTIF($C$25:$C$139,D10)=1,1,""))</f>
        <v/>
      </c>
      <c r="H10" s="146"/>
      <c r="I10" s="69"/>
      <c r="J10" s="168"/>
      <c r="K10" s="169"/>
      <c r="L10" s="169"/>
      <c r="M10" s="170"/>
      <c r="N10" s="171"/>
      <c r="O10" s="172"/>
      <c r="P10" s="172"/>
      <c r="Q10" s="69"/>
      <c r="R10" s="176" t="s">
        <v>1124</v>
      </c>
      <c r="S10" s="177"/>
      <c r="T10" s="177"/>
      <c r="U10" s="178"/>
      <c r="V10" s="69"/>
      <c r="W10" s="69"/>
      <c r="X10" s="147">
        <f>SUM(R2,R5,R8,R11,E20)</f>
        <v>15000</v>
      </c>
      <c r="Y10" s="147"/>
      <c r="Z10" s="147"/>
      <c r="AA10" s="147"/>
      <c r="AB10" s="147"/>
      <c r="AC10" s="147"/>
      <c r="AD10" s="93" t="str">
        <f>IF(D5&gt;=240,"Y","N")</f>
        <v>N</v>
      </c>
      <c r="AE10" s="69"/>
      <c r="AF10" s="109"/>
      <c r="AG10" s="109"/>
      <c r="AH10" s="109"/>
      <c r="AI10" s="109"/>
      <c r="AJ10" s="69"/>
    </row>
    <row r="11" spans="1:36" ht="15.75" thickBot="1" x14ac:dyDescent="0.3">
      <c r="A11" s="149" t="s">
        <v>1132</v>
      </c>
      <c r="B11" s="150"/>
      <c r="C11" s="151"/>
      <c r="D11" s="152" t="str">
        <f>IFERROR(IF(A9="",VLOOKUP("MEAL2",'SCORE(1)'!$Q$11:$R127,2,FALSE),VLOOKUP("MEAL3",'SCORE(1)'!$Q$11:$R127,2,FALSE)),"")</f>
        <v/>
      </c>
      <c r="E11" s="152"/>
      <c r="F11" s="152"/>
      <c r="G11" s="146" t="str">
        <f t="shared" si="0"/>
        <v/>
      </c>
      <c r="H11" s="146"/>
      <c r="I11" s="69"/>
      <c r="J11" s="69"/>
      <c r="K11" s="69"/>
      <c r="L11" s="69"/>
      <c r="M11" s="69"/>
      <c r="N11" s="69"/>
      <c r="O11" s="69"/>
      <c r="P11" s="69"/>
      <c r="Q11" s="69"/>
      <c r="R11" s="153">
        <f>'SCORE(1)'!P6</f>
        <v>0</v>
      </c>
      <c r="S11" s="153"/>
      <c r="T11" s="153"/>
      <c r="U11" s="153"/>
      <c r="V11" s="69"/>
      <c r="W11" s="69"/>
      <c r="X11" s="148"/>
      <c r="Y11" s="148"/>
      <c r="Z11" s="148"/>
      <c r="AA11" s="148"/>
      <c r="AB11" s="148"/>
      <c r="AC11" s="148"/>
      <c r="AD11" s="93" t="str">
        <f>IF(OR(AND(AD8=58,AD9="N"),AND(AD8=30,AD10="N")),"E","")</f>
        <v>E</v>
      </c>
      <c r="AE11" s="69"/>
      <c r="AF11" s="109"/>
      <c r="AG11" s="109"/>
      <c r="AH11" s="109"/>
      <c r="AI11" s="109"/>
      <c r="AJ11" s="69"/>
    </row>
    <row r="12" spans="1:36" ht="15.75" thickBot="1" x14ac:dyDescent="0.3">
      <c r="A12" s="69"/>
      <c r="B12" s="69"/>
      <c r="C12" s="69"/>
      <c r="D12" s="155" t="s">
        <v>1138</v>
      </c>
      <c r="E12" s="142"/>
      <c r="F12" s="143"/>
      <c r="G12" s="106">
        <f>SUM(G9:H11)</f>
        <v>0</v>
      </c>
      <c r="H12" s="107"/>
      <c r="I12" s="69"/>
      <c r="J12" s="69"/>
      <c r="K12" s="69"/>
      <c r="L12" s="69"/>
      <c r="M12" s="69"/>
      <c r="N12" s="69"/>
      <c r="O12" s="69"/>
      <c r="P12" s="69"/>
      <c r="Q12" s="69"/>
      <c r="R12" s="154"/>
      <c r="S12" s="154"/>
      <c r="T12" s="154"/>
      <c r="U12" s="154"/>
      <c r="V12" s="69"/>
      <c r="W12" s="69"/>
      <c r="X12" s="148"/>
      <c r="Y12" s="148"/>
      <c r="Z12" s="148"/>
      <c r="AA12" s="148"/>
      <c r="AB12" s="148"/>
      <c r="AC12" s="148"/>
      <c r="AD12" s="69"/>
      <c r="AE12" s="69"/>
      <c r="AF12" s="109"/>
      <c r="AG12" s="109"/>
      <c r="AH12" s="109"/>
      <c r="AI12" s="109"/>
      <c r="AJ12" s="69"/>
    </row>
    <row r="13" spans="1:36" ht="15.75" thickBot="1" x14ac:dyDescent="0.3">
      <c r="A13" s="69"/>
      <c r="B13" s="69"/>
      <c r="C13" s="69"/>
      <c r="D13" s="69"/>
      <c r="E13" s="69"/>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row>
    <row r="14" spans="1:36" ht="15.75" thickBot="1" x14ac:dyDescent="0.3">
      <c r="A14" s="139" t="s">
        <v>1142</v>
      </c>
      <c r="B14" s="140"/>
      <c r="C14" s="140"/>
      <c r="D14" s="140"/>
      <c r="E14" s="141" t="s">
        <v>1133</v>
      </c>
      <c r="F14" s="141"/>
      <c r="G14" s="141"/>
      <c r="H14" s="141"/>
      <c r="I14" s="142" t="s">
        <v>1134</v>
      </c>
      <c r="J14" s="142"/>
      <c r="K14" s="143"/>
      <c r="L14" s="69"/>
      <c r="M14" s="139" t="s">
        <v>1140</v>
      </c>
      <c r="N14" s="140"/>
      <c r="O14" s="140"/>
      <c r="P14" s="140"/>
      <c r="Q14" s="141" t="s">
        <v>1133</v>
      </c>
      <c r="R14" s="141"/>
      <c r="S14" s="141"/>
      <c r="T14" s="141"/>
      <c r="U14" s="142" t="s">
        <v>1134</v>
      </c>
      <c r="V14" s="142"/>
      <c r="W14" s="143"/>
      <c r="X14" s="69"/>
      <c r="Y14" s="139" t="s">
        <v>1141</v>
      </c>
      <c r="Z14" s="140"/>
      <c r="AA14" s="140"/>
      <c r="AB14" s="140"/>
      <c r="AC14" s="141" t="s">
        <v>1133</v>
      </c>
      <c r="AD14" s="141"/>
      <c r="AE14" s="141"/>
      <c r="AF14" s="141"/>
      <c r="AG14" s="142" t="s">
        <v>1134</v>
      </c>
      <c r="AH14" s="142"/>
      <c r="AI14" s="143"/>
      <c r="AJ14" s="69"/>
    </row>
    <row r="15" spans="1:36" x14ac:dyDescent="0.25">
      <c r="A15" s="133" t="s">
        <v>344</v>
      </c>
      <c r="B15" s="134"/>
      <c r="C15" s="134"/>
      <c r="D15" s="135"/>
      <c r="E15" s="144">
        <f>'SCORE(1)'!D176-'SCORE(1)'!K176</f>
        <v>28</v>
      </c>
      <c r="F15" s="145"/>
      <c r="G15" s="145"/>
      <c r="H15" s="145"/>
      <c r="I15" s="146">
        <f>'SCORE(1)'!L176</f>
        <v>0</v>
      </c>
      <c r="J15" s="146"/>
      <c r="K15" s="146"/>
      <c r="L15" s="69"/>
      <c r="M15" s="133" t="s">
        <v>13</v>
      </c>
      <c r="N15" s="134"/>
      <c r="O15" s="134"/>
      <c r="P15" s="135"/>
      <c r="Q15" s="144">
        <f>'SCORE(1)'!D181-'SCORE(1)'!K181</f>
        <v>32</v>
      </c>
      <c r="R15" s="145"/>
      <c r="S15" s="145"/>
      <c r="T15" s="145"/>
      <c r="U15" s="146">
        <f>'SCORE(1)'!L181</f>
        <v>0</v>
      </c>
      <c r="V15" s="146"/>
      <c r="W15" s="146"/>
      <c r="X15" s="69"/>
      <c r="Y15" s="133" t="s">
        <v>334</v>
      </c>
      <c r="Z15" s="134"/>
      <c r="AA15" s="134"/>
      <c r="AB15" s="135"/>
      <c r="AC15" s="144">
        <f>'SCORE(1)'!D189-'SCORE(1)'!K189</f>
        <v>39</v>
      </c>
      <c r="AD15" s="145"/>
      <c r="AE15" s="145"/>
      <c r="AF15" s="145"/>
      <c r="AG15" s="146">
        <f>'SCORE(1)'!L189</f>
        <v>0</v>
      </c>
      <c r="AH15" s="146"/>
      <c r="AI15" s="146"/>
      <c r="AJ15" s="69"/>
    </row>
    <row r="16" spans="1:36" x14ac:dyDescent="0.25">
      <c r="A16" s="133" t="s">
        <v>333</v>
      </c>
      <c r="B16" s="134"/>
      <c r="C16" s="134"/>
      <c r="D16" s="135"/>
      <c r="E16" s="127">
        <f>'SCORE(1)'!D177-'SCORE(1)'!K177</f>
        <v>42</v>
      </c>
      <c r="F16" s="128"/>
      <c r="G16" s="128"/>
      <c r="H16" s="128"/>
      <c r="I16" s="107">
        <f>'SCORE(1)'!L177</f>
        <v>0</v>
      </c>
      <c r="J16" s="107"/>
      <c r="K16" s="107"/>
      <c r="L16" s="69"/>
      <c r="M16" s="133" t="s">
        <v>14</v>
      </c>
      <c r="N16" s="134"/>
      <c r="O16" s="134"/>
      <c r="P16" s="135"/>
      <c r="Q16" s="127">
        <f>'SCORE(1)'!D182-'SCORE(1)'!K182</f>
        <v>8</v>
      </c>
      <c r="R16" s="128"/>
      <c r="S16" s="128"/>
      <c r="T16" s="128"/>
      <c r="U16" s="107">
        <f>'SCORE(1)'!L182</f>
        <v>0</v>
      </c>
      <c r="V16" s="107"/>
      <c r="W16" s="107"/>
      <c r="X16" s="69"/>
      <c r="Y16" s="133" t="s">
        <v>336</v>
      </c>
      <c r="Z16" s="134"/>
      <c r="AA16" s="134"/>
      <c r="AB16" s="135"/>
      <c r="AC16" s="127">
        <f>'SCORE(1)'!D190-'SCORE(1)'!K190</f>
        <v>45</v>
      </c>
      <c r="AD16" s="128"/>
      <c r="AE16" s="128"/>
      <c r="AF16" s="128"/>
      <c r="AG16" s="107">
        <f>'SCORE(1)'!L190</f>
        <v>0</v>
      </c>
      <c r="AH16" s="107"/>
      <c r="AI16" s="107"/>
      <c r="AJ16" s="69"/>
    </row>
    <row r="17" spans="1:36" x14ac:dyDescent="0.25">
      <c r="A17" s="133" t="s">
        <v>342</v>
      </c>
      <c r="B17" s="134"/>
      <c r="C17" s="134"/>
      <c r="D17" s="135"/>
      <c r="E17" s="127">
        <f>'SCORE(1)'!D178-'SCORE(1)'!K178</f>
        <v>37</v>
      </c>
      <c r="F17" s="128"/>
      <c r="G17" s="128"/>
      <c r="H17" s="128"/>
      <c r="I17" s="107">
        <f>'SCORE(1)'!L178</f>
        <v>0</v>
      </c>
      <c r="J17" s="107"/>
      <c r="K17" s="107"/>
      <c r="L17" s="69"/>
      <c r="M17" s="133" t="s">
        <v>16</v>
      </c>
      <c r="N17" s="134"/>
      <c r="O17" s="134"/>
      <c r="P17" s="135"/>
      <c r="Q17" s="127">
        <f>'SCORE(1)'!D183-'SCORE(1)'!K183</f>
        <v>20</v>
      </c>
      <c r="R17" s="128"/>
      <c r="S17" s="128"/>
      <c r="T17" s="128"/>
      <c r="U17" s="107">
        <f>'SCORE(1)'!L183</f>
        <v>0</v>
      </c>
      <c r="V17" s="107"/>
      <c r="W17" s="107"/>
      <c r="X17" s="69"/>
      <c r="Y17" s="133" t="s">
        <v>335</v>
      </c>
      <c r="Z17" s="134"/>
      <c r="AA17" s="134"/>
      <c r="AB17" s="135"/>
      <c r="AC17" s="127">
        <f>'SCORE(1)'!D191-'SCORE(1)'!K191</f>
        <v>13</v>
      </c>
      <c r="AD17" s="128"/>
      <c r="AE17" s="128"/>
      <c r="AF17" s="128"/>
      <c r="AG17" s="107">
        <f>'SCORE(1)'!L191</f>
        <v>0</v>
      </c>
      <c r="AH17" s="107"/>
      <c r="AI17" s="107"/>
      <c r="AJ17" s="69"/>
    </row>
    <row r="18" spans="1:36" ht="15.75" thickBot="1" x14ac:dyDescent="0.3">
      <c r="A18" s="124" t="s">
        <v>343</v>
      </c>
      <c r="B18" s="125"/>
      <c r="C18" s="125"/>
      <c r="D18" s="126"/>
      <c r="E18" s="127">
        <f>'SCORE(1)'!D179-'SCORE(1)'!K179</f>
        <v>38</v>
      </c>
      <c r="F18" s="128"/>
      <c r="G18" s="128"/>
      <c r="H18" s="128"/>
      <c r="I18" s="107">
        <f>'SCORE(1)'!L179</f>
        <v>0</v>
      </c>
      <c r="J18" s="107"/>
      <c r="K18" s="107"/>
      <c r="L18" s="69"/>
      <c r="M18" s="133" t="s">
        <v>18</v>
      </c>
      <c r="N18" s="134"/>
      <c r="O18" s="134"/>
      <c r="P18" s="135"/>
      <c r="Q18" s="127">
        <f>'SCORE(1)'!D184-'SCORE(1)'!K184</f>
        <v>7</v>
      </c>
      <c r="R18" s="128"/>
      <c r="S18" s="128"/>
      <c r="T18" s="128"/>
      <c r="U18" s="107">
        <f>'SCORE(1)'!L184</f>
        <v>0</v>
      </c>
      <c r="V18" s="107"/>
      <c r="W18" s="107"/>
      <c r="X18" s="69"/>
      <c r="Y18" s="133" t="s">
        <v>337</v>
      </c>
      <c r="Z18" s="134"/>
      <c r="AA18" s="134"/>
      <c r="AB18" s="135"/>
      <c r="AC18" s="127">
        <f>'SCORE(1)'!D192-'SCORE(1)'!K192</f>
        <v>9</v>
      </c>
      <c r="AD18" s="128"/>
      <c r="AE18" s="128"/>
      <c r="AF18" s="128"/>
      <c r="AG18" s="107">
        <f>'SCORE(1)'!L192</f>
        <v>0</v>
      </c>
      <c r="AH18" s="107"/>
      <c r="AI18" s="107"/>
      <c r="AJ18" s="69"/>
    </row>
    <row r="19" spans="1:36" ht="15.75" thickBot="1" x14ac:dyDescent="0.3">
      <c r="A19" s="69"/>
      <c r="B19" s="69"/>
      <c r="C19" s="69"/>
      <c r="D19" s="69"/>
      <c r="E19" s="69"/>
      <c r="F19" s="69"/>
      <c r="G19" s="69"/>
      <c r="H19" s="69"/>
      <c r="I19" s="69"/>
      <c r="J19" s="69"/>
      <c r="K19" s="69"/>
      <c r="L19" s="69"/>
      <c r="M19" s="133" t="s">
        <v>15</v>
      </c>
      <c r="N19" s="134"/>
      <c r="O19" s="134"/>
      <c r="P19" s="135"/>
      <c r="Q19" s="127">
        <f>'SCORE(1)'!D185-'SCORE(1)'!K185</f>
        <v>2</v>
      </c>
      <c r="R19" s="128"/>
      <c r="S19" s="128"/>
      <c r="T19" s="128"/>
      <c r="U19" s="107">
        <f>'SCORE(1)'!L185</f>
        <v>0</v>
      </c>
      <c r="V19" s="107"/>
      <c r="W19" s="107"/>
      <c r="X19" s="69"/>
      <c r="Y19" s="133" t="s">
        <v>340</v>
      </c>
      <c r="Z19" s="134"/>
      <c r="AA19" s="134"/>
      <c r="AB19" s="135"/>
      <c r="AC19" s="127">
        <f>'SCORE(1)'!D193-'SCORE(1)'!K193</f>
        <v>6</v>
      </c>
      <c r="AD19" s="128"/>
      <c r="AE19" s="128"/>
      <c r="AF19" s="128"/>
      <c r="AG19" s="107">
        <f>'SCORE(1)'!L193</f>
        <v>0</v>
      </c>
      <c r="AH19" s="107"/>
      <c r="AI19" s="107"/>
      <c r="AJ19" s="69"/>
    </row>
    <row r="20" spans="1:36" ht="15.75" thickBot="1" x14ac:dyDescent="0.3">
      <c r="A20" s="103" t="s">
        <v>1139</v>
      </c>
      <c r="B20" s="104"/>
      <c r="C20" s="104"/>
      <c r="D20" s="105"/>
      <c r="E20" s="106">
        <f>'SCORE(1)'!R5</f>
        <v>0</v>
      </c>
      <c r="F20" s="107"/>
      <c r="G20" s="107"/>
      <c r="H20" s="69"/>
      <c r="I20" s="69"/>
      <c r="J20" s="69"/>
      <c r="K20" s="69"/>
      <c r="L20" s="69"/>
      <c r="M20" s="133" t="s">
        <v>19</v>
      </c>
      <c r="N20" s="134"/>
      <c r="O20" s="134"/>
      <c r="P20" s="135"/>
      <c r="Q20" s="127">
        <f>'SCORE(1)'!D187-'SCORE(1)'!K187</f>
        <v>4</v>
      </c>
      <c r="R20" s="128"/>
      <c r="S20" s="128"/>
      <c r="T20" s="128"/>
      <c r="U20" s="107">
        <f>'SCORE(1)'!L187</f>
        <v>0</v>
      </c>
      <c r="V20" s="107"/>
      <c r="W20" s="107"/>
      <c r="X20" s="69"/>
      <c r="Y20" s="136" t="s">
        <v>338</v>
      </c>
      <c r="Z20" s="137"/>
      <c r="AA20" s="137"/>
      <c r="AB20" s="138"/>
      <c r="AC20" s="127">
        <f>'SCORE(1)'!D194-'SCORE(1)'!K194</f>
        <v>24</v>
      </c>
      <c r="AD20" s="128"/>
      <c r="AE20" s="128"/>
      <c r="AF20" s="128"/>
      <c r="AG20" s="107">
        <f>'SCORE(1)'!L194</f>
        <v>0</v>
      </c>
      <c r="AH20" s="107"/>
      <c r="AI20" s="107"/>
      <c r="AJ20" s="69"/>
    </row>
    <row r="21" spans="1:36" ht="15.75" thickBot="1" x14ac:dyDescent="0.3">
      <c r="A21" s="69"/>
      <c r="B21" s="69"/>
      <c r="C21" s="69"/>
      <c r="D21" s="69"/>
      <c r="E21" s="69"/>
      <c r="F21" s="69"/>
      <c r="G21" s="69"/>
      <c r="H21" s="69"/>
      <c r="I21" s="69"/>
      <c r="J21" s="69"/>
      <c r="K21" s="69"/>
      <c r="L21" s="69"/>
      <c r="M21" s="124" t="s">
        <v>17</v>
      </c>
      <c r="N21" s="125"/>
      <c r="O21" s="125"/>
      <c r="P21" s="126"/>
      <c r="Q21" s="127">
        <f>'SCORE(1)'!D188-'SCORE(1)'!K188</f>
        <v>6</v>
      </c>
      <c r="R21" s="128"/>
      <c r="S21" s="128"/>
      <c r="T21" s="128"/>
      <c r="U21" s="107">
        <f>'SCORE(1)'!L188</f>
        <v>0</v>
      </c>
      <c r="V21" s="107"/>
      <c r="W21" s="107"/>
      <c r="X21" s="69"/>
      <c r="Y21" s="133" t="s">
        <v>341</v>
      </c>
      <c r="Z21" s="134"/>
      <c r="AA21" s="134"/>
      <c r="AB21" s="135"/>
      <c r="AC21" s="127">
        <f>'SCORE(1)'!D195-'SCORE(1)'!K195</f>
        <v>6</v>
      </c>
      <c r="AD21" s="128"/>
      <c r="AE21" s="128"/>
      <c r="AF21" s="128"/>
      <c r="AG21" s="107">
        <f>'SCORE(1)'!L195</f>
        <v>0</v>
      </c>
      <c r="AH21" s="107"/>
      <c r="AI21" s="107"/>
      <c r="AJ21" s="69"/>
    </row>
    <row r="22" spans="1:36" ht="15.75" thickBot="1" x14ac:dyDescent="0.3">
      <c r="A22" s="69"/>
      <c r="B22" s="69"/>
      <c r="C22" s="69"/>
      <c r="D22" s="69"/>
      <c r="E22" s="69"/>
      <c r="F22" s="69"/>
      <c r="G22" s="69"/>
      <c r="H22" s="69"/>
      <c r="I22" s="69"/>
      <c r="J22" s="69"/>
      <c r="K22" s="69"/>
      <c r="L22" s="69"/>
      <c r="M22" s="69"/>
      <c r="N22" s="69"/>
      <c r="O22" s="69"/>
      <c r="P22" s="69"/>
      <c r="Q22" s="69"/>
      <c r="R22" s="69"/>
      <c r="S22" s="69"/>
      <c r="T22" s="69"/>
      <c r="U22" s="69"/>
      <c r="V22" s="69"/>
      <c r="W22" s="69"/>
      <c r="X22" s="69"/>
      <c r="Y22" s="124" t="s">
        <v>339</v>
      </c>
      <c r="Z22" s="125"/>
      <c r="AA22" s="125"/>
      <c r="AB22" s="126"/>
      <c r="AC22" s="127">
        <f>'SCORE(1)'!D196-'SCORE(1)'!K196</f>
        <v>3</v>
      </c>
      <c r="AD22" s="128"/>
      <c r="AE22" s="128"/>
      <c r="AF22" s="128"/>
      <c r="AG22" s="107">
        <f>'SCORE(1)'!L196</f>
        <v>0</v>
      </c>
      <c r="AH22" s="107"/>
      <c r="AI22" s="107"/>
      <c r="AJ22" s="69"/>
    </row>
    <row r="23" spans="1:36" ht="15.75" thickBot="1" x14ac:dyDescent="0.3">
      <c r="A23" s="69"/>
      <c r="B23" s="69"/>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row>
    <row r="24" spans="1:36" ht="15.75" thickBot="1" x14ac:dyDescent="0.3">
      <c r="A24" s="129" t="s">
        <v>1135</v>
      </c>
      <c r="B24" s="130"/>
      <c r="C24" s="131" t="s">
        <v>6</v>
      </c>
      <c r="D24" s="132"/>
      <c r="E24" s="132"/>
      <c r="F24" s="132" t="s">
        <v>7</v>
      </c>
      <c r="G24" s="132"/>
      <c r="H24" s="132"/>
      <c r="I24" s="132"/>
      <c r="J24" s="132"/>
      <c r="K24" s="132"/>
      <c r="L24" s="132"/>
      <c r="M24" s="132"/>
      <c r="N24" s="132" t="s">
        <v>5</v>
      </c>
      <c r="O24" s="132"/>
      <c r="P24" s="132"/>
      <c r="Q24" s="132"/>
      <c r="R24" s="132" t="s">
        <v>8</v>
      </c>
      <c r="S24" s="132"/>
      <c r="T24" s="132"/>
      <c r="U24" s="132"/>
      <c r="V24" s="132" t="s">
        <v>9</v>
      </c>
      <c r="W24" s="132"/>
      <c r="X24" s="132"/>
      <c r="Y24" s="132"/>
      <c r="Z24" s="132"/>
      <c r="AA24" s="132" t="s">
        <v>10</v>
      </c>
      <c r="AB24" s="132"/>
      <c r="AC24" s="130"/>
      <c r="AD24" s="69"/>
      <c r="AE24" s="69"/>
      <c r="AF24" s="69"/>
      <c r="AG24" s="69"/>
      <c r="AH24" s="69"/>
      <c r="AI24" s="69"/>
      <c r="AJ24" s="69"/>
    </row>
    <row r="25" spans="1:36" x14ac:dyDescent="0.25">
      <c r="A25" s="119">
        <v>1</v>
      </c>
      <c r="B25" s="120"/>
      <c r="C25" s="121"/>
      <c r="D25" s="122"/>
      <c r="E25" s="123"/>
      <c r="F25" s="118" t="str">
        <f>IF(C25="","",VLOOKUP(C25,'SCORE(1)'!$A$201:$N$420,2,FALSE))</f>
        <v/>
      </c>
      <c r="G25" s="118"/>
      <c r="H25" s="118"/>
      <c r="I25" s="118"/>
      <c r="J25" s="118"/>
      <c r="K25" s="118"/>
      <c r="L25" s="118"/>
      <c r="M25" s="118"/>
      <c r="N25" s="118" t="str">
        <f>IF(C25="","",VLOOKUP(C25,'SCORE(1)'!$A$201:$J$417,8,FALSE))</f>
        <v/>
      </c>
      <c r="O25" s="118"/>
      <c r="P25" s="118"/>
      <c r="Q25" s="118"/>
      <c r="R25" s="118" t="str">
        <f>IF(C25="","",'SCORE(1)'!H11)</f>
        <v/>
      </c>
      <c r="S25" s="118"/>
      <c r="T25" s="118"/>
      <c r="U25" s="118"/>
      <c r="V25" s="118" t="str">
        <f>IF(C25="","",VLOOKUP(C25,'SCORE(1)'!$A$201:$J$417,10,FALSE))</f>
        <v/>
      </c>
      <c r="W25" s="118"/>
      <c r="X25" s="118"/>
      <c r="Y25" s="118"/>
      <c r="Z25" s="118"/>
      <c r="AA25" s="118" t="str">
        <f>IF(C25="","",VLOOKUP(C25,'SCORE(1)'!$A$201:$J$417,7,FALSE))</f>
        <v/>
      </c>
      <c r="AB25" s="118"/>
      <c r="AC25" s="118"/>
      <c r="AD25" s="69"/>
      <c r="AE25" s="69"/>
      <c r="AF25" s="69"/>
      <c r="AG25" s="69"/>
      <c r="AH25" s="69"/>
      <c r="AI25" s="69"/>
      <c r="AJ25" s="69"/>
    </row>
    <row r="26" spans="1:36" x14ac:dyDescent="0.25">
      <c r="A26" s="114">
        <v>2</v>
      </c>
      <c r="B26" s="115"/>
      <c r="C26" s="116"/>
      <c r="D26" s="117"/>
      <c r="E26" s="112"/>
      <c r="F26" s="97" t="str">
        <f>IF(C26="","",VLOOKUP(C26,'SCORE(1)'!$A$201:$N$420,2,FALSE))</f>
        <v/>
      </c>
      <c r="G26" s="97"/>
      <c r="H26" s="97"/>
      <c r="I26" s="97"/>
      <c r="J26" s="97"/>
      <c r="K26" s="97"/>
      <c r="L26" s="97"/>
      <c r="M26" s="97"/>
      <c r="N26" s="97" t="str">
        <f>IF(C26="","",VLOOKUP(C26,'SCORE(1)'!$A$201:$J$417,8,FALSE))</f>
        <v/>
      </c>
      <c r="O26" s="97"/>
      <c r="P26" s="97"/>
      <c r="Q26" s="97"/>
      <c r="R26" s="97" t="str">
        <f>IF(C26="","",'SCORE(1)'!H12)</f>
        <v/>
      </c>
      <c r="S26" s="97"/>
      <c r="T26" s="97"/>
      <c r="U26" s="97"/>
      <c r="V26" s="97" t="str">
        <f>IF(C26="","",VLOOKUP(C26,'SCORE(1)'!$A$201:$J$417,10,FALSE))</f>
        <v/>
      </c>
      <c r="W26" s="97"/>
      <c r="X26" s="97"/>
      <c r="Y26" s="97"/>
      <c r="Z26" s="97"/>
      <c r="AA26" s="97" t="str">
        <f>IF(C26="","",VLOOKUP(C26,'SCORE(1)'!$A$201:$J$417,7,FALSE))</f>
        <v/>
      </c>
      <c r="AB26" s="97"/>
      <c r="AC26" s="97"/>
      <c r="AD26" s="69"/>
      <c r="AE26" s="69"/>
      <c r="AF26" s="69"/>
      <c r="AG26" s="69"/>
      <c r="AH26" s="69"/>
      <c r="AI26" s="69"/>
      <c r="AJ26" s="69"/>
    </row>
    <row r="27" spans="1:36" x14ac:dyDescent="0.25">
      <c r="A27" s="114">
        <v>3</v>
      </c>
      <c r="B27" s="115"/>
      <c r="C27" s="116"/>
      <c r="D27" s="117"/>
      <c r="E27" s="112"/>
      <c r="F27" s="97" t="str">
        <f>IF(C27="","",VLOOKUP(C27,'SCORE(1)'!$A$201:$N$420,2,FALSE))</f>
        <v/>
      </c>
      <c r="G27" s="97"/>
      <c r="H27" s="97"/>
      <c r="I27" s="97"/>
      <c r="J27" s="97"/>
      <c r="K27" s="97"/>
      <c r="L27" s="97"/>
      <c r="M27" s="97"/>
      <c r="N27" s="97" t="str">
        <f>IF(C27="","",VLOOKUP(C27,'SCORE(1)'!$A$201:$J$417,8,FALSE))</f>
        <v/>
      </c>
      <c r="O27" s="97"/>
      <c r="P27" s="97"/>
      <c r="Q27" s="97"/>
      <c r="R27" s="97" t="str">
        <f>IF(C27="","",'SCORE(1)'!H13)</f>
        <v/>
      </c>
      <c r="S27" s="97"/>
      <c r="T27" s="97"/>
      <c r="U27" s="97"/>
      <c r="V27" s="97" t="str">
        <f>IF(C27="","",VLOOKUP(C27,'SCORE(1)'!$A$201:$J$417,10,FALSE))</f>
        <v/>
      </c>
      <c r="W27" s="97"/>
      <c r="X27" s="97"/>
      <c r="Y27" s="97"/>
      <c r="Z27" s="97"/>
      <c r="AA27" s="97" t="str">
        <f>IF(C27="","",VLOOKUP(C27,'SCORE(1)'!$A$201:$J$417,7,FALSE))</f>
        <v/>
      </c>
      <c r="AB27" s="97"/>
      <c r="AC27" s="97"/>
      <c r="AD27" s="69"/>
      <c r="AE27" s="69"/>
      <c r="AF27" s="69"/>
      <c r="AG27" s="69"/>
      <c r="AH27" s="69"/>
      <c r="AI27" s="69"/>
      <c r="AJ27" s="69"/>
    </row>
    <row r="28" spans="1:36" x14ac:dyDescent="0.25">
      <c r="A28" s="114">
        <v>4</v>
      </c>
      <c r="B28" s="115"/>
      <c r="C28" s="116"/>
      <c r="D28" s="117"/>
      <c r="E28" s="112"/>
      <c r="F28" s="97" t="str">
        <f>IF(C28="","",VLOOKUP(C28,'SCORE(1)'!$A$201:$N$420,2,FALSE))</f>
        <v/>
      </c>
      <c r="G28" s="97"/>
      <c r="H28" s="97"/>
      <c r="I28" s="97"/>
      <c r="J28" s="97"/>
      <c r="K28" s="97"/>
      <c r="L28" s="97"/>
      <c r="M28" s="97"/>
      <c r="N28" s="97" t="str">
        <f>IF(C28="","",VLOOKUP(C28,'SCORE(1)'!$A$201:$J$417,8,FALSE))</f>
        <v/>
      </c>
      <c r="O28" s="97"/>
      <c r="P28" s="97"/>
      <c r="Q28" s="97"/>
      <c r="R28" s="97" t="str">
        <f>IF(C28="","",'SCORE(1)'!H14)</f>
        <v/>
      </c>
      <c r="S28" s="97"/>
      <c r="T28" s="97"/>
      <c r="U28" s="97"/>
      <c r="V28" s="97" t="str">
        <f>IF(C28="","",VLOOKUP(C28,'SCORE(1)'!$A$201:$J$417,10,FALSE))</f>
        <v/>
      </c>
      <c r="W28" s="97"/>
      <c r="X28" s="97"/>
      <c r="Y28" s="97"/>
      <c r="Z28" s="97"/>
      <c r="AA28" s="97" t="str">
        <f>IF(C28="","",VLOOKUP(C28,'SCORE(1)'!$A$201:$J$417,7,FALSE))</f>
        <v/>
      </c>
      <c r="AB28" s="97"/>
      <c r="AC28" s="97"/>
      <c r="AD28" s="69"/>
      <c r="AE28" s="69"/>
      <c r="AF28" s="69"/>
      <c r="AG28" s="69"/>
      <c r="AH28" s="69"/>
      <c r="AI28" s="69"/>
      <c r="AJ28" s="69"/>
    </row>
    <row r="29" spans="1:36" x14ac:dyDescent="0.25">
      <c r="A29" s="114">
        <v>5</v>
      </c>
      <c r="B29" s="115"/>
      <c r="C29" s="116"/>
      <c r="D29" s="117"/>
      <c r="E29" s="112"/>
      <c r="F29" s="97" t="str">
        <f>IF(C29="","",VLOOKUP(C29,'SCORE(1)'!$A$201:$N$420,2,FALSE))</f>
        <v/>
      </c>
      <c r="G29" s="97"/>
      <c r="H29" s="97"/>
      <c r="I29" s="97"/>
      <c r="J29" s="97"/>
      <c r="K29" s="97"/>
      <c r="L29" s="97"/>
      <c r="M29" s="97"/>
      <c r="N29" s="97" t="str">
        <f>IF(C29="","",VLOOKUP(C29,'SCORE(1)'!$A$201:$J$417,8,FALSE))</f>
        <v/>
      </c>
      <c r="O29" s="97"/>
      <c r="P29" s="97"/>
      <c r="Q29" s="97"/>
      <c r="R29" s="97" t="str">
        <f>IF(C29="","",'SCORE(1)'!H15)</f>
        <v/>
      </c>
      <c r="S29" s="97"/>
      <c r="T29" s="97"/>
      <c r="U29" s="97"/>
      <c r="V29" s="97" t="str">
        <f>IF(C29="","",VLOOKUP(C29,'SCORE(1)'!$A$201:$J$417,10,FALSE))</f>
        <v/>
      </c>
      <c r="W29" s="97"/>
      <c r="X29" s="97"/>
      <c r="Y29" s="97"/>
      <c r="Z29" s="97"/>
      <c r="AA29" s="97" t="str">
        <f>IF(C29="","",VLOOKUP(C29,'SCORE(1)'!$A$201:$J$417,7,FALSE))</f>
        <v/>
      </c>
      <c r="AB29" s="97"/>
      <c r="AC29" s="97"/>
      <c r="AD29" s="69"/>
      <c r="AE29" s="69"/>
      <c r="AF29" s="69"/>
      <c r="AG29" s="69"/>
      <c r="AH29" s="69"/>
      <c r="AI29" s="69"/>
      <c r="AJ29" s="69"/>
    </row>
    <row r="30" spans="1:36" x14ac:dyDescent="0.25">
      <c r="A30" s="114">
        <v>6</v>
      </c>
      <c r="B30" s="115"/>
      <c r="C30" s="116"/>
      <c r="D30" s="117"/>
      <c r="E30" s="112"/>
      <c r="F30" s="97" t="str">
        <f>IF(C30="","",VLOOKUP(C30,'SCORE(1)'!$A$201:$N$420,2,FALSE))</f>
        <v/>
      </c>
      <c r="G30" s="97"/>
      <c r="H30" s="97"/>
      <c r="I30" s="97"/>
      <c r="J30" s="97"/>
      <c r="K30" s="97"/>
      <c r="L30" s="97"/>
      <c r="M30" s="97"/>
      <c r="N30" s="97" t="str">
        <f>IF(C30="","",VLOOKUP(C30,'SCORE(1)'!$A$201:$J$417,8,FALSE))</f>
        <v/>
      </c>
      <c r="O30" s="97"/>
      <c r="P30" s="97"/>
      <c r="Q30" s="97"/>
      <c r="R30" s="97" t="str">
        <f>IF(C30="","",'SCORE(1)'!H16)</f>
        <v/>
      </c>
      <c r="S30" s="97"/>
      <c r="T30" s="97"/>
      <c r="U30" s="97"/>
      <c r="V30" s="97" t="str">
        <f>IF(C30="","",VLOOKUP(C30,'SCORE(1)'!$A$201:$J$417,10,FALSE))</f>
        <v/>
      </c>
      <c r="W30" s="97"/>
      <c r="X30" s="97"/>
      <c r="Y30" s="97"/>
      <c r="Z30" s="97"/>
      <c r="AA30" s="97" t="str">
        <f>IF(C30="","",VLOOKUP(C30,'SCORE(1)'!$A$201:$J$417,7,FALSE))</f>
        <v/>
      </c>
      <c r="AB30" s="97"/>
      <c r="AC30" s="97"/>
      <c r="AD30" s="69"/>
      <c r="AE30" s="69"/>
      <c r="AF30" s="69"/>
      <c r="AG30" s="69"/>
      <c r="AH30" s="69"/>
      <c r="AI30" s="69"/>
      <c r="AJ30" s="69"/>
    </row>
    <row r="31" spans="1:36" x14ac:dyDescent="0.25">
      <c r="A31" s="114">
        <v>7</v>
      </c>
      <c r="B31" s="115"/>
      <c r="C31" s="116"/>
      <c r="D31" s="117"/>
      <c r="E31" s="112"/>
      <c r="F31" s="97" t="str">
        <f>IF(C31="","",VLOOKUP(C31,'SCORE(1)'!$A$201:$N$420,2,FALSE))</f>
        <v/>
      </c>
      <c r="G31" s="97"/>
      <c r="H31" s="97"/>
      <c r="I31" s="97"/>
      <c r="J31" s="97"/>
      <c r="K31" s="97"/>
      <c r="L31" s="97"/>
      <c r="M31" s="97"/>
      <c r="N31" s="97" t="str">
        <f>IF(C31="","",VLOOKUP(C31,'SCORE(1)'!$A$201:$J$417,8,FALSE))</f>
        <v/>
      </c>
      <c r="O31" s="97"/>
      <c r="P31" s="97"/>
      <c r="Q31" s="97"/>
      <c r="R31" s="97" t="str">
        <f>IF(C31="","",'SCORE(1)'!H17)</f>
        <v/>
      </c>
      <c r="S31" s="97"/>
      <c r="T31" s="97"/>
      <c r="U31" s="97"/>
      <c r="V31" s="97" t="str">
        <f>IF(C31="","",VLOOKUP(C31,'SCORE(1)'!$A$201:$J$417,10,FALSE))</f>
        <v/>
      </c>
      <c r="W31" s="97"/>
      <c r="X31" s="97"/>
      <c r="Y31" s="97"/>
      <c r="Z31" s="97"/>
      <c r="AA31" s="97" t="str">
        <f>IF(C31="","",VLOOKUP(C31,'SCORE(1)'!$A$201:$J$417,7,FALSE))</f>
        <v/>
      </c>
      <c r="AB31" s="97"/>
      <c r="AC31" s="97"/>
      <c r="AD31" s="69"/>
      <c r="AE31" s="69"/>
      <c r="AF31" s="69"/>
      <c r="AG31" s="69"/>
      <c r="AH31" s="69"/>
      <c r="AI31" s="69"/>
      <c r="AJ31" s="69"/>
    </row>
    <row r="32" spans="1:36" x14ac:dyDescent="0.25">
      <c r="A32" s="114">
        <v>8</v>
      </c>
      <c r="B32" s="115"/>
      <c r="C32" s="116"/>
      <c r="D32" s="117"/>
      <c r="E32" s="112"/>
      <c r="F32" s="97" t="str">
        <f>IF(C32="","",VLOOKUP(C32,'SCORE(1)'!$A$201:$N$420,2,FALSE))</f>
        <v/>
      </c>
      <c r="G32" s="97"/>
      <c r="H32" s="97"/>
      <c r="I32" s="97"/>
      <c r="J32" s="97"/>
      <c r="K32" s="97"/>
      <c r="L32" s="97"/>
      <c r="M32" s="97"/>
      <c r="N32" s="97" t="str">
        <f>IF(C32="","",VLOOKUP(C32,'SCORE(1)'!$A$201:$J$417,8,FALSE))</f>
        <v/>
      </c>
      <c r="O32" s="97"/>
      <c r="P32" s="97"/>
      <c r="Q32" s="97"/>
      <c r="R32" s="97" t="str">
        <f>IF(C32="","",'SCORE(1)'!H18)</f>
        <v/>
      </c>
      <c r="S32" s="97"/>
      <c r="T32" s="97"/>
      <c r="U32" s="97"/>
      <c r="V32" s="97" t="str">
        <f>IF(C32="","",VLOOKUP(C32,'SCORE(1)'!$A$201:$J$417,10,FALSE))</f>
        <v/>
      </c>
      <c r="W32" s="97"/>
      <c r="X32" s="97"/>
      <c r="Y32" s="97"/>
      <c r="Z32" s="97"/>
      <c r="AA32" s="97" t="str">
        <f>IF(C32="","",VLOOKUP(C32,'SCORE(1)'!$A$201:$J$417,7,FALSE))</f>
        <v/>
      </c>
      <c r="AB32" s="97"/>
      <c r="AC32" s="97"/>
      <c r="AD32" s="69"/>
      <c r="AE32" s="69"/>
      <c r="AF32" s="69"/>
      <c r="AG32" s="69"/>
      <c r="AH32" s="69"/>
      <c r="AI32" s="69"/>
      <c r="AJ32" s="69"/>
    </row>
    <row r="33" spans="1:36" x14ac:dyDescent="0.25">
      <c r="A33" s="114">
        <v>9</v>
      </c>
      <c r="B33" s="115"/>
      <c r="C33" s="116"/>
      <c r="D33" s="117"/>
      <c r="E33" s="112"/>
      <c r="F33" s="97" t="str">
        <f>IF(C33="","",VLOOKUP(C33,'SCORE(1)'!$A$201:$N$420,2,FALSE))</f>
        <v/>
      </c>
      <c r="G33" s="97"/>
      <c r="H33" s="97"/>
      <c r="I33" s="97"/>
      <c r="J33" s="97"/>
      <c r="K33" s="97"/>
      <c r="L33" s="97"/>
      <c r="M33" s="97"/>
      <c r="N33" s="97" t="str">
        <f>IF(C33="","",VLOOKUP(C33,'SCORE(1)'!$A$201:$J$417,8,FALSE))</f>
        <v/>
      </c>
      <c r="O33" s="97"/>
      <c r="P33" s="97"/>
      <c r="Q33" s="97"/>
      <c r="R33" s="97" t="str">
        <f>IF(C33="","",'SCORE(1)'!H19)</f>
        <v/>
      </c>
      <c r="S33" s="97"/>
      <c r="T33" s="97"/>
      <c r="U33" s="97"/>
      <c r="V33" s="97" t="str">
        <f>IF(C33="","",VLOOKUP(C33,'SCORE(1)'!$A$201:$J$417,10,FALSE))</f>
        <v/>
      </c>
      <c r="W33" s="97"/>
      <c r="X33" s="97"/>
      <c r="Y33" s="97"/>
      <c r="Z33" s="97"/>
      <c r="AA33" s="97" t="str">
        <f>IF(C33="","",VLOOKUP(C33,'SCORE(1)'!$A$201:$J$417,7,FALSE))</f>
        <v/>
      </c>
      <c r="AB33" s="97"/>
      <c r="AC33" s="97"/>
      <c r="AD33" s="69"/>
      <c r="AE33" s="69"/>
      <c r="AF33" s="69"/>
      <c r="AG33" s="69"/>
      <c r="AH33" s="69"/>
      <c r="AI33" s="69"/>
      <c r="AJ33" s="69"/>
    </row>
    <row r="34" spans="1:36" x14ac:dyDescent="0.25">
      <c r="A34" s="114">
        <v>10</v>
      </c>
      <c r="B34" s="115"/>
      <c r="C34" s="116"/>
      <c r="D34" s="117"/>
      <c r="E34" s="112"/>
      <c r="F34" s="97" t="str">
        <f>IF(C34="","",VLOOKUP(C34,'SCORE(1)'!$A$201:$N$420,2,FALSE))</f>
        <v/>
      </c>
      <c r="G34" s="97"/>
      <c r="H34" s="97"/>
      <c r="I34" s="97"/>
      <c r="J34" s="97"/>
      <c r="K34" s="97"/>
      <c r="L34" s="97"/>
      <c r="M34" s="97"/>
      <c r="N34" s="97" t="str">
        <f>IF(C34="","",VLOOKUP(C34,'SCORE(1)'!$A$201:$J$417,8,FALSE))</f>
        <v/>
      </c>
      <c r="O34" s="97"/>
      <c r="P34" s="97"/>
      <c r="Q34" s="97"/>
      <c r="R34" s="97" t="str">
        <f>IF(C34="","",'SCORE(1)'!H20)</f>
        <v/>
      </c>
      <c r="S34" s="97"/>
      <c r="T34" s="97"/>
      <c r="U34" s="97"/>
      <c r="V34" s="97" t="str">
        <f>IF(C34="","",VLOOKUP(C34,'SCORE(1)'!$A$201:$J$417,10,FALSE))</f>
        <v/>
      </c>
      <c r="W34" s="97"/>
      <c r="X34" s="97"/>
      <c r="Y34" s="97"/>
      <c r="Z34" s="97"/>
      <c r="AA34" s="97" t="str">
        <f>IF(C34="","",VLOOKUP(C34,'SCORE(1)'!$A$201:$J$417,7,FALSE))</f>
        <v/>
      </c>
      <c r="AB34" s="97"/>
      <c r="AC34" s="97"/>
      <c r="AD34" s="69"/>
      <c r="AE34" s="69"/>
      <c r="AF34" s="69"/>
      <c r="AG34" s="69"/>
      <c r="AH34" s="69"/>
      <c r="AI34" s="69"/>
      <c r="AJ34" s="69"/>
    </row>
    <row r="35" spans="1:36" x14ac:dyDescent="0.25">
      <c r="A35" s="114">
        <v>11</v>
      </c>
      <c r="B35" s="115"/>
      <c r="C35" s="116"/>
      <c r="D35" s="117"/>
      <c r="E35" s="112"/>
      <c r="F35" s="97" t="str">
        <f>IF(C35="","",VLOOKUP(C35,'SCORE(1)'!$A$201:$N$420,2,FALSE))</f>
        <v/>
      </c>
      <c r="G35" s="97"/>
      <c r="H35" s="97"/>
      <c r="I35" s="97"/>
      <c r="J35" s="97"/>
      <c r="K35" s="97"/>
      <c r="L35" s="97"/>
      <c r="M35" s="97"/>
      <c r="N35" s="97" t="str">
        <f>IF(C35="","",VLOOKUP(C35,'SCORE(1)'!$A$201:$J$417,8,FALSE))</f>
        <v/>
      </c>
      <c r="O35" s="97"/>
      <c r="P35" s="97"/>
      <c r="Q35" s="97"/>
      <c r="R35" s="97" t="str">
        <f>IF(C35="","",'SCORE(1)'!H21)</f>
        <v/>
      </c>
      <c r="S35" s="97"/>
      <c r="T35" s="97"/>
      <c r="U35" s="97"/>
      <c r="V35" s="97" t="str">
        <f>IF(C35="","",VLOOKUP(C35,'SCORE(1)'!$A$201:$J$417,10,FALSE))</f>
        <v/>
      </c>
      <c r="W35" s="97"/>
      <c r="X35" s="97"/>
      <c r="Y35" s="97"/>
      <c r="Z35" s="97"/>
      <c r="AA35" s="97" t="str">
        <f>IF(C35="","",VLOOKUP(C35,'SCORE(1)'!$A$201:$J$417,7,FALSE))</f>
        <v/>
      </c>
      <c r="AB35" s="97"/>
      <c r="AC35" s="97"/>
      <c r="AD35" s="69"/>
      <c r="AE35" s="69"/>
      <c r="AF35" s="69"/>
      <c r="AG35" s="69"/>
      <c r="AH35" s="69"/>
      <c r="AI35" s="69"/>
      <c r="AJ35" s="69"/>
    </row>
    <row r="36" spans="1:36" x14ac:dyDescent="0.25">
      <c r="A36" s="114">
        <v>12</v>
      </c>
      <c r="B36" s="115"/>
      <c r="C36" s="116"/>
      <c r="D36" s="117"/>
      <c r="E36" s="112"/>
      <c r="F36" s="97" t="str">
        <f>IF(C36="","",VLOOKUP(C36,'SCORE(1)'!$A$201:$N$420,2,FALSE))</f>
        <v/>
      </c>
      <c r="G36" s="97"/>
      <c r="H36" s="97"/>
      <c r="I36" s="97"/>
      <c r="J36" s="97"/>
      <c r="K36" s="97"/>
      <c r="L36" s="97"/>
      <c r="M36" s="97"/>
      <c r="N36" s="97" t="str">
        <f>IF(C36="","",VLOOKUP(C36,'SCORE(1)'!$A$201:$J$417,8,FALSE))</f>
        <v/>
      </c>
      <c r="O36" s="97"/>
      <c r="P36" s="97"/>
      <c r="Q36" s="97"/>
      <c r="R36" s="97" t="str">
        <f>IF(C36="","",'SCORE(1)'!H22)</f>
        <v/>
      </c>
      <c r="S36" s="97"/>
      <c r="T36" s="97"/>
      <c r="U36" s="97"/>
      <c r="V36" s="97" t="str">
        <f>IF(C36="","",VLOOKUP(C36,'SCORE(1)'!$A$201:$J$417,10,FALSE))</f>
        <v/>
      </c>
      <c r="W36" s="97"/>
      <c r="X36" s="97"/>
      <c r="Y36" s="97"/>
      <c r="Z36" s="97"/>
      <c r="AA36" s="97" t="str">
        <f>IF(C36="","",VLOOKUP(C36,'SCORE(1)'!$A$201:$J$417,7,FALSE))</f>
        <v/>
      </c>
      <c r="AB36" s="97"/>
      <c r="AC36" s="97"/>
      <c r="AD36" s="69"/>
      <c r="AE36" s="69"/>
      <c r="AF36" s="69"/>
      <c r="AG36" s="69"/>
      <c r="AH36" s="69"/>
      <c r="AI36" s="69"/>
      <c r="AJ36" s="69"/>
    </row>
    <row r="37" spans="1:36" x14ac:dyDescent="0.25">
      <c r="A37" s="114">
        <v>13</v>
      </c>
      <c r="B37" s="115"/>
      <c r="C37" s="116"/>
      <c r="D37" s="117"/>
      <c r="E37" s="112"/>
      <c r="F37" s="97" t="str">
        <f>IF(C37="","",VLOOKUP(C37,'SCORE(1)'!$A$201:$N$420,2,FALSE))</f>
        <v/>
      </c>
      <c r="G37" s="97"/>
      <c r="H37" s="97"/>
      <c r="I37" s="97"/>
      <c r="J37" s="97"/>
      <c r="K37" s="97"/>
      <c r="L37" s="97"/>
      <c r="M37" s="97"/>
      <c r="N37" s="97" t="str">
        <f>IF(C37="","",VLOOKUP(C37,'SCORE(1)'!$A$201:$J$417,8,FALSE))</f>
        <v/>
      </c>
      <c r="O37" s="97"/>
      <c r="P37" s="97"/>
      <c r="Q37" s="97"/>
      <c r="R37" s="97" t="str">
        <f>IF(C37="","",'SCORE(1)'!H23)</f>
        <v/>
      </c>
      <c r="S37" s="97"/>
      <c r="T37" s="97"/>
      <c r="U37" s="97"/>
      <c r="V37" s="97" t="str">
        <f>IF(C37="","",VLOOKUP(C37,'SCORE(1)'!$A$201:$J$417,10,FALSE))</f>
        <v/>
      </c>
      <c r="W37" s="97"/>
      <c r="X37" s="97"/>
      <c r="Y37" s="97"/>
      <c r="Z37" s="97"/>
      <c r="AA37" s="97" t="str">
        <f>IF(C37="","",VLOOKUP(C37,'SCORE(1)'!$A$201:$J$417,7,FALSE))</f>
        <v/>
      </c>
      <c r="AB37" s="97"/>
      <c r="AC37" s="97"/>
      <c r="AD37" s="69"/>
      <c r="AE37" s="69"/>
      <c r="AF37" s="69"/>
      <c r="AG37" s="69"/>
      <c r="AH37" s="69"/>
      <c r="AI37" s="69"/>
      <c r="AJ37" s="69"/>
    </row>
    <row r="38" spans="1:36" x14ac:dyDescent="0.25">
      <c r="A38" s="114">
        <v>14</v>
      </c>
      <c r="B38" s="115"/>
      <c r="C38" s="116"/>
      <c r="D38" s="117"/>
      <c r="E38" s="112"/>
      <c r="F38" s="97" t="str">
        <f>IF(C38="","",VLOOKUP(C38,'SCORE(1)'!$A$201:$N$420,2,FALSE))</f>
        <v/>
      </c>
      <c r="G38" s="97"/>
      <c r="H38" s="97"/>
      <c r="I38" s="97"/>
      <c r="J38" s="97"/>
      <c r="K38" s="97"/>
      <c r="L38" s="97"/>
      <c r="M38" s="97"/>
      <c r="N38" s="97" t="str">
        <f>IF(C38="","",VLOOKUP(C38,'SCORE(1)'!$A$201:$J$417,8,FALSE))</f>
        <v/>
      </c>
      <c r="O38" s="97"/>
      <c r="P38" s="97"/>
      <c r="Q38" s="97"/>
      <c r="R38" s="97" t="str">
        <f>IF(C38="","",'SCORE(1)'!H24)</f>
        <v/>
      </c>
      <c r="S38" s="97"/>
      <c r="T38" s="97"/>
      <c r="U38" s="97"/>
      <c r="V38" s="97" t="str">
        <f>IF(C38="","",VLOOKUP(C38,'SCORE(1)'!$A$201:$J$417,10,FALSE))</f>
        <v/>
      </c>
      <c r="W38" s="97"/>
      <c r="X38" s="97"/>
      <c r="Y38" s="97"/>
      <c r="Z38" s="97"/>
      <c r="AA38" s="97" t="str">
        <f>IF(C38="","",VLOOKUP(C38,'SCORE(1)'!$A$201:$J$417,7,FALSE))</f>
        <v/>
      </c>
      <c r="AB38" s="97"/>
      <c r="AC38" s="97"/>
      <c r="AD38" s="69"/>
      <c r="AE38" s="69"/>
      <c r="AF38" s="69"/>
      <c r="AG38" s="69"/>
      <c r="AH38" s="69"/>
      <c r="AI38" s="69"/>
      <c r="AJ38" s="69"/>
    </row>
    <row r="39" spans="1:36" x14ac:dyDescent="0.25">
      <c r="A39" s="114">
        <v>15</v>
      </c>
      <c r="B39" s="115"/>
      <c r="C39" s="116"/>
      <c r="D39" s="117"/>
      <c r="E39" s="112"/>
      <c r="F39" s="97" t="str">
        <f>IF(C39="","",VLOOKUP(C39,'SCORE(1)'!$A$201:$N$420,2,FALSE))</f>
        <v/>
      </c>
      <c r="G39" s="97"/>
      <c r="H39" s="97"/>
      <c r="I39" s="97"/>
      <c r="J39" s="97"/>
      <c r="K39" s="97"/>
      <c r="L39" s="97"/>
      <c r="M39" s="97"/>
      <c r="N39" s="97" t="str">
        <f>IF(C39="","",VLOOKUP(C39,'SCORE(1)'!$A$201:$J$417,8,FALSE))</f>
        <v/>
      </c>
      <c r="O39" s="97"/>
      <c r="P39" s="97"/>
      <c r="Q39" s="97"/>
      <c r="R39" s="97" t="str">
        <f>IF(C39="","",'SCORE(1)'!H25)</f>
        <v/>
      </c>
      <c r="S39" s="97"/>
      <c r="T39" s="97"/>
      <c r="U39" s="97"/>
      <c r="V39" s="97" t="str">
        <f>IF(C39="","",VLOOKUP(C39,'SCORE(1)'!$A$201:$J$417,10,FALSE))</f>
        <v/>
      </c>
      <c r="W39" s="97"/>
      <c r="X39" s="97"/>
      <c r="Y39" s="97"/>
      <c r="Z39" s="97"/>
      <c r="AA39" s="97" t="str">
        <f>IF(C39="","",VLOOKUP(C39,'SCORE(1)'!$A$201:$J$417,7,FALSE))</f>
        <v/>
      </c>
      <c r="AB39" s="97"/>
      <c r="AC39" s="97"/>
      <c r="AD39" s="69"/>
      <c r="AE39" s="69"/>
      <c r="AF39" s="69"/>
      <c r="AG39" s="69"/>
      <c r="AH39" s="69"/>
      <c r="AI39" s="69"/>
      <c r="AJ39" s="69"/>
    </row>
    <row r="40" spans="1:36" x14ac:dyDescent="0.25">
      <c r="A40" s="114">
        <v>16</v>
      </c>
      <c r="B40" s="115"/>
      <c r="C40" s="116"/>
      <c r="D40" s="117"/>
      <c r="E40" s="112"/>
      <c r="F40" s="97" t="str">
        <f>IF(C40="","",VLOOKUP(C40,'SCORE(1)'!$A$201:$N$420,2,FALSE))</f>
        <v/>
      </c>
      <c r="G40" s="97"/>
      <c r="H40" s="97"/>
      <c r="I40" s="97"/>
      <c r="J40" s="97"/>
      <c r="K40" s="97"/>
      <c r="L40" s="97"/>
      <c r="M40" s="97"/>
      <c r="N40" s="97" t="str">
        <f>IF(C40="","",VLOOKUP(C40,'SCORE(1)'!$A$201:$J$417,8,FALSE))</f>
        <v/>
      </c>
      <c r="O40" s="97"/>
      <c r="P40" s="97"/>
      <c r="Q40" s="97"/>
      <c r="R40" s="97" t="str">
        <f>IF(C40="","",'SCORE(1)'!H26)</f>
        <v/>
      </c>
      <c r="S40" s="97"/>
      <c r="T40" s="97"/>
      <c r="U40" s="97"/>
      <c r="V40" s="97" t="str">
        <f>IF(C40="","",VLOOKUP(C40,'SCORE(1)'!$A$201:$J$417,10,FALSE))</f>
        <v/>
      </c>
      <c r="W40" s="97"/>
      <c r="X40" s="97"/>
      <c r="Y40" s="97"/>
      <c r="Z40" s="97"/>
      <c r="AA40" s="97" t="str">
        <f>IF(C40="","",VLOOKUP(C40,'SCORE(1)'!$A$201:$J$417,7,FALSE))</f>
        <v/>
      </c>
      <c r="AB40" s="97"/>
      <c r="AC40" s="97"/>
      <c r="AD40" s="69"/>
      <c r="AE40" s="69"/>
      <c r="AF40" s="69"/>
      <c r="AG40" s="69"/>
      <c r="AH40" s="69"/>
      <c r="AI40" s="69"/>
      <c r="AJ40" s="69"/>
    </row>
    <row r="41" spans="1:36" x14ac:dyDescent="0.25">
      <c r="A41" s="114">
        <v>17</v>
      </c>
      <c r="B41" s="115"/>
      <c r="C41" s="116"/>
      <c r="D41" s="117"/>
      <c r="E41" s="112"/>
      <c r="F41" s="97" t="str">
        <f>IF(C41="","",VLOOKUP(C41,'SCORE(1)'!$A$201:$N$420,2,FALSE))</f>
        <v/>
      </c>
      <c r="G41" s="97"/>
      <c r="H41" s="97"/>
      <c r="I41" s="97"/>
      <c r="J41" s="97"/>
      <c r="K41" s="97"/>
      <c r="L41" s="97"/>
      <c r="M41" s="97"/>
      <c r="N41" s="97" t="str">
        <f>IF(C41="","",VLOOKUP(C41,'SCORE(1)'!$A$201:$J$417,8,FALSE))</f>
        <v/>
      </c>
      <c r="O41" s="97"/>
      <c r="P41" s="97"/>
      <c r="Q41" s="97"/>
      <c r="R41" s="97" t="str">
        <f>IF(C41="","",'SCORE(1)'!H27)</f>
        <v/>
      </c>
      <c r="S41" s="97"/>
      <c r="T41" s="97"/>
      <c r="U41" s="97"/>
      <c r="V41" s="97" t="str">
        <f>IF(C41="","",VLOOKUP(C41,'SCORE(1)'!$A$201:$J$417,10,FALSE))</f>
        <v/>
      </c>
      <c r="W41" s="97"/>
      <c r="X41" s="97"/>
      <c r="Y41" s="97"/>
      <c r="Z41" s="97"/>
      <c r="AA41" s="97" t="str">
        <f>IF(C41="","",VLOOKUP(C41,'SCORE(1)'!$A$201:$J$417,7,FALSE))</f>
        <v/>
      </c>
      <c r="AB41" s="97"/>
      <c r="AC41" s="97"/>
      <c r="AD41" s="69"/>
      <c r="AE41" s="69"/>
      <c r="AF41" s="69"/>
      <c r="AG41" s="69"/>
      <c r="AH41" s="69"/>
      <c r="AI41" s="69"/>
      <c r="AJ41" s="69"/>
    </row>
    <row r="42" spans="1:36" x14ac:dyDescent="0.25">
      <c r="A42" s="114">
        <v>18</v>
      </c>
      <c r="B42" s="115"/>
      <c r="C42" s="116"/>
      <c r="D42" s="117"/>
      <c r="E42" s="112"/>
      <c r="F42" s="97" t="str">
        <f>IF(C42="","",VLOOKUP(C42,'SCORE(1)'!$A$201:$N$420,2,FALSE))</f>
        <v/>
      </c>
      <c r="G42" s="97"/>
      <c r="H42" s="97"/>
      <c r="I42" s="97"/>
      <c r="J42" s="97"/>
      <c r="K42" s="97"/>
      <c r="L42" s="97"/>
      <c r="M42" s="97"/>
      <c r="N42" s="97" t="str">
        <f>IF(C42="","",VLOOKUP(C42,'SCORE(1)'!$A$201:$J$417,8,FALSE))</f>
        <v/>
      </c>
      <c r="O42" s="97"/>
      <c r="P42" s="97"/>
      <c r="Q42" s="97"/>
      <c r="R42" s="97" t="str">
        <f>IF(C42="","",'SCORE(1)'!H28)</f>
        <v/>
      </c>
      <c r="S42" s="97"/>
      <c r="T42" s="97"/>
      <c r="U42" s="97"/>
      <c r="V42" s="97" t="str">
        <f>IF(C42="","",VLOOKUP(C42,'SCORE(1)'!$A$201:$J$417,10,FALSE))</f>
        <v/>
      </c>
      <c r="W42" s="97"/>
      <c r="X42" s="97"/>
      <c r="Y42" s="97"/>
      <c r="Z42" s="97"/>
      <c r="AA42" s="97" t="str">
        <f>IF(C42="","",VLOOKUP(C42,'SCORE(1)'!$A$201:$J$417,7,FALSE))</f>
        <v/>
      </c>
      <c r="AB42" s="97"/>
      <c r="AC42" s="97"/>
      <c r="AD42" s="69"/>
      <c r="AE42" s="69"/>
      <c r="AF42" s="69"/>
      <c r="AG42" s="69"/>
      <c r="AH42" s="69"/>
      <c r="AI42" s="69"/>
      <c r="AJ42" s="69"/>
    </row>
    <row r="43" spans="1:36" x14ac:dyDescent="0.25">
      <c r="A43" s="114">
        <v>19</v>
      </c>
      <c r="B43" s="115"/>
      <c r="C43" s="116"/>
      <c r="D43" s="117"/>
      <c r="E43" s="112"/>
      <c r="F43" s="97" t="str">
        <f>IF(C43="","",VLOOKUP(C43,'SCORE(1)'!$A$201:$N$420,2,FALSE))</f>
        <v/>
      </c>
      <c r="G43" s="97"/>
      <c r="H43" s="97"/>
      <c r="I43" s="97"/>
      <c r="J43" s="97"/>
      <c r="K43" s="97"/>
      <c r="L43" s="97"/>
      <c r="M43" s="97"/>
      <c r="N43" s="97" t="str">
        <f>IF(C43="","",VLOOKUP(C43,'SCORE(1)'!$A$201:$J$417,8,FALSE))</f>
        <v/>
      </c>
      <c r="O43" s="97"/>
      <c r="P43" s="97"/>
      <c r="Q43" s="97"/>
      <c r="R43" s="97" t="str">
        <f>IF(C43="","",'SCORE(1)'!H29)</f>
        <v/>
      </c>
      <c r="S43" s="97"/>
      <c r="T43" s="97"/>
      <c r="U43" s="97"/>
      <c r="V43" s="97" t="str">
        <f>IF(C43="","",VLOOKUP(C43,'SCORE(1)'!$A$201:$J$417,10,FALSE))</f>
        <v/>
      </c>
      <c r="W43" s="97"/>
      <c r="X43" s="97"/>
      <c r="Y43" s="97"/>
      <c r="Z43" s="97"/>
      <c r="AA43" s="97" t="str">
        <f>IF(C43="","",VLOOKUP(C43,'SCORE(1)'!$A$201:$J$417,7,FALSE))</f>
        <v/>
      </c>
      <c r="AB43" s="97"/>
      <c r="AC43" s="97"/>
      <c r="AD43" s="69"/>
      <c r="AE43" s="69"/>
      <c r="AF43" s="69"/>
      <c r="AG43" s="69"/>
      <c r="AH43" s="69"/>
      <c r="AI43" s="69"/>
      <c r="AJ43" s="69"/>
    </row>
    <row r="44" spans="1:36" x14ac:dyDescent="0.25">
      <c r="A44" s="114">
        <v>20</v>
      </c>
      <c r="B44" s="115"/>
      <c r="C44" s="116"/>
      <c r="D44" s="117"/>
      <c r="E44" s="112"/>
      <c r="F44" s="97" t="str">
        <f>IF(C44="","",VLOOKUP(C44,'SCORE(1)'!$A$201:$N$420,2,FALSE))</f>
        <v/>
      </c>
      <c r="G44" s="97"/>
      <c r="H44" s="97"/>
      <c r="I44" s="97"/>
      <c r="J44" s="97"/>
      <c r="K44" s="97"/>
      <c r="L44" s="97"/>
      <c r="M44" s="97"/>
      <c r="N44" s="97" t="str">
        <f>IF(C44="","",VLOOKUP(C44,'SCORE(1)'!$A$201:$J$417,8,FALSE))</f>
        <v/>
      </c>
      <c r="O44" s="97"/>
      <c r="P44" s="97"/>
      <c r="Q44" s="97"/>
      <c r="R44" s="97" t="str">
        <f>IF(C44="","",'SCORE(1)'!H30)</f>
        <v/>
      </c>
      <c r="S44" s="97"/>
      <c r="T44" s="97"/>
      <c r="U44" s="97"/>
      <c r="V44" s="97" t="str">
        <f>IF(C44="","",VLOOKUP(C44,'SCORE(1)'!$A$201:$J$417,10,FALSE))</f>
        <v/>
      </c>
      <c r="W44" s="97"/>
      <c r="X44" s="97"/>
      <c r="Y44" s="97"/>
      <c r="Z44" s="97"/>
      <c r="AA44" s="97" t="str">
        <f>IF(C44="","",VLOOKUP(C44,'SCORE(1)'!$A$201:$J$417,7,FALSE))</f>
        <v/>
      </c>
      <c r="AB44" s="97"/>
      <c r="AC44" s="97"/>
      <c r="AD44" s="69"/>
      <c r="AE44" s="69"/>
      <c r="AF44" s="69"/>
      <c r="AG44" s="69"/>
      <c r="AH44" s="69"/>
      <c r="AI44" s="69"/>
      <c r="AJ44" s="69"/>
    </row>
    <row r="45" spans="1:36" x14ac:dyDescent="0.25">
      <c r="A45" s="114">
        <v>21</v>
      </c>
      <c r="B45" s="115"/>
      <c r="C45" s="116"/>
      <c r="D45" s="117"/>
      <c r="E45" s="112"/>
      <c r="F45" s="97" t="str">
        <f>IF(C45="","",VLOOKUP(C45,'SCORE(1)'!$A$201:$N$420,2,FALSE))</f>
        <v/>
      </c>
      <c r="G45" s="97"/>
      <c r="H45" s="97"/>
      <c r="I45" s="97"/>
      <c r="J45" s="97"/>
      <c r="K45" s="97"/>
      <c r="L45" s="97"/>
      <c r="M45" s="97"/>
      <c r="N45" s="97" t="str">
        <f>IF(C45="","",VLOOKUP(C45,'SCORE(1)'!$A$201:$J$417,8,FALSE))</f>
        <v/>
      </c>
      <c r="O45" s="97"/>
      <c r="P45" s="97"/>
      <c r="Q45" s="97"/>
      <c r="R45" s="97" t="str">
        <f>IF(C45="","",'SCORE(1)'!H31)</f>
        <v/>
      </c>
      <c r="S45" s="97"/>
      <c r="T45" s="97"/>
      <c r="U45" s="97"/>
      <c r="V45" s="97" t="str">
        <f>IF(C45="","",VLOOKUP(C45,'SCORE(1)'!$A$201:$J$417,10,FALSE))</f>
        <v/>
      </c>
      <c r="W45" s="97"/>
      <c r="X45" s="97"/>
      <c r="Y45" s="97"/>
      <c r="Z45" s="97"/>
      <c r="AA45" s="97" t="str">
        <f>IF(C45="","",VLOOKUP(C45,'SCORE(1)'!$A$201:$J$417,7,FALSE))</f>
        <v/>
      </c>
      <c r="AB45" s="97"/>
      <c r="AC45" s="97"/>
      <c r="AD45" s="69"/>
      <c r="AE45" s="69"/>
      <c r="AF45" s="69"/>
      <c r="AG45" s="69"/>
      <c r="AH45" s="69"/>
      <c r="AI45" s="69"/>
      <c r="AJ45" s="69"/>
    </row>
    <row r="46" spans="1:36" x14ac:dyDescent="0.25">
      <c r="A46" s="114">
        <v>22</v>
      </c>
      <c r="B46" s="115"/>
      <c r="C46" s="116"/>
      <c r="D46" s="117"/>
      <c r="E46" s="112"/>
      <c r="F46" s="97" t="str">
        <f>IF(C46="","",VLOOKUP(C46,'SCORE(1)'!$A$201:$N$420,2,FALSE))</f>
        <v/>
      </c>
      <c r="G46" s="97"/>
      <c r="H46" s="97"/>
      <c r="I46" s="97"/>
      <c r="J46" s="97"/>
      <c r="K46" s="97"/>
      <c r="L46" s="97"/>
      <c r="M46" s="97"/>
      <c r="N46" s="97" t="str">
        <f>IF(C46="","",VLOOKUP(C46,'SCORE(1)'!$A$201:$J$417,8,FALSE))</f>
        <v/>
      </c>
      <c r="O46" s="97"/>
      <c r="P46" s="97"/>
      <c r="Q46" s="97"/>
      <c r="R46" s="97" t="str">
        <f>IF(C46="","",'SCORE(1)'!H32)</f>
        <v/>
      </c>
      <c r="S46" s="97"/>
      <c r="T46" s="97"/>
      <c r="U46" s="97"/>
      <c r="V46" s="97" t="str">
        <f>IF(C46="","",VLOOKUP(C46,'SCORE(1)'!$A$201:$J$417,10,FALSE))</f>
        <v/>
      </c>
      <c r="W46" s="97"/>
      <c r="X46" s="97"/>
      <c r="Y46" s="97"/>
      <c r="Z46" s="97"/>
      <c r="AA46" s="97" t="str">
        <f>IF(C46="","",VLOOKUP(C46,'SCORE(1)'!$A$201:$J$417,7,FALSE))</f>
        <v/>
      </c>
      <c r="AB46" s="97"/>
      <c r="AC46" s="97"/>
      <c r="AD46" s="69"/>
      <c r="AE46" s="69"/>
      <c r="AF46" s="69"/>
      <c r="AG46" s="69"/>
      <c r="AH46" s="69"/>
      <c r="AI46" s="69"/>
      <c r="AJ46" s="69"/>
    </row>
    <row r="47" spans="1:36" x14ac:dyDescent="0.25">
      <c r="A47" s="114">
        <v>23</v>
      </c>
      <c r="B47" s="115"/>
      <c r="C47" s="116"/>
      <c r="D47" s="117"/>
      <c r="E47" s="112"/>
      <c r="F47" s="97" t="str">
        <f>IF(C47="","",VLOOKUP(C47,'SCORE(1)'!$A$201:$N$420,2,FALSE))</f>
        <v/>
      </c>
      <c r="G47" s="97"/>
      <c r="H47" s="97"/>
      <c r="I47" s="97"/>
      <c r="J47" s="97"/>
      <c r="K47" s="97"/>
      <c r="L47" s="97"/>
      <c r="M47" s="97"/>
      <c r="N47" s="97" t="str">
        <f>IF(C47="","",VLOOKUP(C47,'SCORE(1)'!$A$201:$J$417,8,FALSE))</f>
        <v/>
      </c>
      <c r="O47" s="97"/>
      <c r="P47" s="97"/>
      <c r="Q47" s="97"/>
      <c r="R47" s="97" t="str">
        <f>IF(C47="","",'SCORE(1)'!H33)</f>
        <v/>
      </c>
      <c r="S47" s="97"/>
      <c r="T47" s="97"/>
      <c r="U47" s="97"/>
      <c r="V47" s="97" t="str">
        <f>IF(C47="","",VLOOKUP(C47,'SCORE(1)'!$A$201:$J$417,10,FALSE))</f>
        <v/>
      </c>
      <c r="W47" s="97"/>
      <c r="X47" s="97"/>
      <c r="Y47" s="97"/>
      <c r="Z47" s="97"/>
      <c r="AA47" s="97" t="str">
        <f>IF(C47="","",VLOOKUP(C47,'SCORE(1)'!$A$201:$J$417,7,FALSE))</f>
        <v/>
      </c>
      <c r="AB47" s="97"/>
      <c r="AC47" s="97"/>
      <c r="AD47" s="69"/>
      <c r="AE47" s="69"/>
      <c r="AF47" s="69"/>
      <c r="AG47" s="69"/>
      <c r="AH47" s="69"/>
      <c r="AI47" s="69"/>
      <c r="AJ47" s="69"/>
    </row>
    <row r="48" spans="1:36" x14ac:dyDescent="0.25">
      <c r="A48" s="114">
        <v>24</v>
      </c>
      <c r="B48" s="115"/>
      <c r="C48" s="116"/>
      <c r="D48" s="117"/>
      <c r="E48" s="112"/>
      <c r="F48" s="97" t="str">
        <f>IF(C48="","",VLOOKUP(C48,'SCORE(1)'!$A$201:$N$420,2,FALSE))</f>
        <v/>
      </c>
      <c r="G48" s="97"/>
      <c r="H48" s="97"/>
      <c r="I48" s="97"/>
      <c r="J48" s="97"/>
      <c r="K48" s="97"/>
      <c r="L48" s="97"/>
      <c r="M48" s="97"/>
      <c r="N48" s="97" t="str">
        <f>IF(C48="","",VLOOKUP(C48,'SCORE(1)'!$A$201:$J$417,8,FALSE))</f>
        <v/>
      </c>
      <c r="O48" s="97"/>
      <c r="P48" s="97"/>
      <c r="Q48" s="97"/>
      <c r="R48" s="97" t="str">
        <f>IF(C48="","",'SCORE(1)'!H34)</f>
        <v/>
      </c>
      <c r="S48" s="97"/>
      <c r="T48" s="97"/>
      <c r="U48" s="97"/>
      <c r="V48" s="97" t="str">
        <f>IF(C48="","",VLOOKUP(C48,'SCORE(1)'!$A$201:$J$417,10,FALSE))</f>
        <v/>
      </c>
      <c r="W48" s="97"/>
      <c r="X48" s="97"/>
      <c r="Y48" s="97"/>
      <c r="Z48" s="97"/>
      <c r="AA48" s="97" t="str">
        <f>IF(C48="","",VLOOKUP(C48,'SCORE(1)'!$A$201:$J$417,7,FALSE))</f>
        <v/>
      </c>
      <c r="AB48" s="97"/>
      <c r="AC48" s="97"/>
      <c r="AD48" s="69"/>
      <c r="AE48" s="69"/>
      <c r="AF48" s="69"/>
      <c r="AG48" s="69"/>
      <c r="AH48" s="69"/>
      <c r="AI48" s="69"/>
      <c r="AJ48" s="69"/>
    </row>
    <row r="49" spans="1:36" x14ac:dyDescent="0.25">
      <c r="A49" s="114">
        <v>25</v>
      </c>
      <c r="B49" s="115"/>
      <c r="C49" s="116"/>
      <c r="D49" s="117"/>
      <c r="E49" s="112"/>
      <c r="F49" s="97" t="str">
        <f>IF(C49="","",VLOOKUP(C49,'SCORE(1)'!$A$201:$N$420,2,FALSE))</f>
        <v/>
      </c>
      <c r="G49" s="97"/>
      <c r="H49" s="97"/>
      <c r="I49" s="97"/>
      <c r="J49" s="97"/>
      <c r="K49" s="97"/>
      <c r="L49" s="97"/>
      <c r="M49" s="97"/>
      <c r="N49" s="97" t="str">
        <f>IF(C49="","",VLOOKUP(C49,'SCORE(1)'!$A$201:$J$417,8,FALSE))</f>
        <v/>
      </c>
      <c r="O49" s="97"/>
      <c r="P49" s="97"/>
      <c r="Q49" s="97"/>
      <c r="R49" s="97" t="str">
        <f>IF(C49="","",'SCORE(1)'!H35)</f>
        <v/>
      </c>
      <c r="S49" s="97"/>
      <c r="T49" s="97"/>
      <c r="U49" s="97"/>
      <c r="V49" s="97" t="str">
        <f>IF(C49="","",VLOOKUP(C49,'SCORE(1)'!$A$201:$J$417,10,FALSE))</f>
        <v/>
      </c>
      <c r="W49" s="97"/>
      <c r="X49" s="97"/>
      <c r="Y49" s="97"/>
      <c r="Z49" s="97"/>
      <c r="AA49" s="97" t="str">
        <f>IF(C49="","",VLOOKUP(C49,'SCORE(1)'!$A$201:$J$417,7,FALSE))</f>
        <v/>
      </c>
      <c r="AB49" s="97"/>
      <c r="AC49" s="97"/>
      <c r="AD49" s="69"/>
      <c r="AE49" s="69"/>
      <c r="AF49" s="69"/>
      <c r="AG49" s="69"/>
      <c r="AH49" s="69"/>
      <c r="AI49" s="69"/>
      <c r="AJ49" s="69"/>
    </row>
    <row r="50" spans="1:36" x14ac:dyDescent="0.25">
      <c r="A50" s="114">
        <v>26</v>
      </c>
      <c r="B50" s="115"/>
      <c r="C50" s="116"/>
      <c r="D50" s="117"/>
      <c r="E50" s="112"/>
      <c r="F50" s="97" t="str">
        <f>IF(C50="","",VLOOKUP(C50,'SCORE(1)'!$A$201:$N$420,2,FALSE))</f>
        <v/>
      </c>
      <c r="G50" s="97"/>
      <c r="H50" s="97"/>
      <c r="I50" s="97"/>
      <c r="J50" s="97"/>
      <c r="K50" s="97"/>
      <c r="L50" s="97"/>
      <c r="M50" s="97"/>
      <c r="N50" s="97" t="str">
        <f>IF(C50="","",VLOOKUP(C50,'SCORE(1)'!$A$201:$J$417,8,FALSE))</f>
        <v/>
      </c>
      <c r="O50" s="97"/>
      <c r="P50" s="97"/>
      <c r="Q50" s="97"/>
      <c r="R50" s="97" t="str">
        <f>IF(C50="","",'SCORE(1)'!H36)</f>
        <v/>
      </c>
      <c r="S50" s="97"/>
      <c r="T50" s="97"/>
      <c r="U50" s="97"/>
      <c r="V50" s="97" t="str">
        <f>IF(C50="","",VLOOKUP(C50,'SCORE(1)'!$A$201:$J$417,10,FALSE))</f>
        <v/>
      </c>
      <c r="W50" s="97"/>
      <c r="X50" s="97"/>
      <c r="Y50" s="97"/>
      <c r="Z50" s="97"/>
      <c r="AA50" s="97" t="str">
        <f>IF(C50="","",VLOOKUP(C50,'SCORE(1)'!$A$201:$J$417,7,FALSE))</f>
        <v/>
      </c>
      <c r="AB50" s="97"/>
      <c r="AC50" s="97"/>
      <c r="AD50" s="69"/>
      <c r="AE50" s="69"/>
      <c r="AF50" s="69"/>
      <c r="AG50" s="69"/>
      <c r="AH50" s="69"/>
      <c r="AI50" s="69"/>
      <c r="AJ50" s="69"/>
    </row>
    <row r="51" spans="1:36" x14ac:dyDescent="0.25">
      <c r="A51" s="114">
        <v>27</v>
      </c>
      <c r="B51" s="115"/>
      <c r="C51" s="116"/>
      <c r="D51" s="117"/>
      <c r="E51" s="112"/>
      <c r="F51" s="97" t="str">
        <f>IF(C51="","",VLOOKUP(C51,'SCORE(1)'!$A$201:$N$420,2,FALSE))</f>
        <v/>
      </c>
      <c r="G51" s="97"/>
      <c r="H51" s="97"/>
      <c r="I51" s="97"/>
      <c r="J51" s="97"/>
      <c r="K51" s="97"/>
      <c r="L51" s="97"/>
      <c r="M51" s="97"/>
      <c r="N51" s="97" t="str">
        <f>IF(C51="","",VLOOKUP(C51,'SCORE(1)'!$A$201:$J$417,8,FALSE))</f>
        <v/>
      </c>
      <c r="O51" s="97"/>
      <c r="P51" s="97"/>
      <c r="Q51" s="97"/>
      <c r="R51" s="97" t="str">
        <f>IF(C51="","",'SCORE(1)'!H37)</f>
        <v/>
      </c>
      <c r="S51" s="97"/>
      <c r="T51" s="97"/>
      <c r="U51" s="97"/>
      <c r="V51" s="97" t="str">
        <f>IF(C51="","",VLOOKUP(C51,'SCORE(1)'!$A$201:$J$417,10,FALSE))</f>
        <v/>
      </c>
      <c r="W51" s="97"/>
      <c r="X51" s="97"/>
      <c r="Y51" s="97"/>
      <c r="Z51" s="97"/>
      <c r="AA51" s="97" t="str">
        <f>IF(C51="","",VLOOKUP(C51,'SCORE(1)'!$A$201:$J$417,7,FALSE))</f>
        <v/>
      </c>
      <c r="AB51" s="97"/>
      <c r="AC51" s="97"/>
      <c r="AD51" s="69"/>
      <c r="AE51" s="69"/>
      <c r="AF51" s="69"/>
      <c r="AG51" s="69"/>
      <c r="AH51" s="69"/>
      <c r="AI51" s="69"/>
      <c r="AJ51" s="69"/>
    </row>
    <row r="52" spans="1:36" x14ac:dyDescent="0.25">
      <c r="A52" s="114">
        <v>28</v>
      </c>
      <c r="B52" s="115"/>
      <c r="C52" s="116"/>
      <c r="D52" s="117"/>
      <c r="E52" s="112"/>
      <c r="F52" s="97" t="str">
        <f>IF(C52="","",VLOOKUP(C52,'SCORE(1)'!$A$201:$N$420,2,FALSE))</f>
        <v/>
      </c>
      <c r="G52" s="97"/>
      <c r="H52" s="97"/>
      <c r="I52" s="97"/>
      <c r="J52" s="97"/>
      <c r="K52" s="97"/>
      <c r="L52" s="97"/>
      <c r="M52" s="97"/>
      <c r="N52" s="97" t="str">
        <f>IF(C52="","",VLOOKUP(C52,'SCORE(1)'!$A$201:$J$417,8,FALSE))</f>
        <v/>
      </c>
      <c r="O52" s="97"/>
      <c r="P52" s="97"/>
      <c r="Q52" s="97"/>
      <c r="R52" s="97" t="str">
        <f>IF(C52="","",'SCORE(1)'!H38)</f>
        <v/>
      </c>
      <c r="S52" s="97"/>
      <c r="T52" s="97"/>
      <c r="U52" s="97"/>
      <c r="V52" s="97" t="str">
        <f>IF(C52="","",VLOOKUP(C52,'SCORE(1)'!$A$201:$J$417,10,FALSE))</f>
        <v/>
      </c>
      <c r="W52" s="97"/>
      <c r="X52" s="97"/>
      <c r="Y52" s="97"/>
      <c r="Z52" s="97"/>
      <c r="AA52" s="97" t="str">
        <f>IF(C52="","",VLOOKUP(C52,'SCORE(1)'!$A$201:$J$417,7,FALSE))</f>
        <v/>
      </c>
      <c r="AB52" s="97"/>
      <c r="AC52" s="97"/>
      <c r="AD52" s="69"/>
      <c r="AE52" s="69"/>
      <c r="AF52" s="69"/>
      <c r="AG52" s="69"/>
      <c r="AH52" s="69"/>
      <c r="AI52" s="69"/>
      <c r="AJ52" s="69"/>
    </row>
    <row r="53" spans="1:36" x14ac:dyDescent="0.25">
      <c r="A53" s="114">
        <v>29</v>
      </c>
      <c r="B53" s="115"/>
      <c r="C53" s="116"/>
      <c r="D53" s="117"/>
      <c r="E53" s="112"/>
      <c r="F53" s="97" t="str">
        <f>IF(C53="","",VLOOKUP(C53,'SCORE(1)'!$A$201:$N$420,2,FALSE))</f>
        <v/>
      </c>
      <c r="G53" s="97"/>
      <c r="H53" s="97"/>
      <c r="I53" s="97"/>
      <c r="J53" s="97"/>
      <c r="K53" s="97"/>
      <c r="L53" s="97"/>
      <c r="M53" s="97"/>
      <c r="N53" s="97" t="str">
        <f>IF(C53="","",VLOOKUP(C53,'SCORE(1)'!$A$201:$J$417,8,FALSE))</f>
        <v/>
      </c>
      <c r="O53" s="97"/>
      <c r="P53" s="97"/>
      <c r="Q53" s="97"/>
      <c r="R53" s="97" t="str">
        <f>IF(C53="","",'SCORE(1)'!H39)</f>
        <v/>
      </c>
      <c r="S53" s="97"/>
      <c r="T53" s="97"/>
      <c r="U53" s="97"/>
      <c r="V53" s="97" t="str">
        <f>IF(C53="","",VLOOKUP(C53,'SCORE(1)'!$A$201:$J$417,10,FALSE))</f>
        <v/>
      </c>
      <c r="W53" s="97"/>
      <c r="X53" s="97"/>
      <c r="Y53" s="97"/>
      <c r="Z53" s="97"/>
      <c r="AA53" s="97" t="str">
        <f>IF(C53="","",VLOOKUP(C53,'SCORE(1)'!$A$201:$J$417,7,FALSE))</f>
        <v/>
      </c>
      <c r="AB53" s="97"/>
      <c r="AC53" s="97"/>
      <c r="AD53" s="69"/>
      <c r="AE53" s="69"/>
      <c r="AF53" s="69"/>
      <c r="AG53" s="69"/>
      <c r="AH53" s="69"/>
      <c r="AI53" s="69"/>
      <c r="AJ53" s="69"/>
    </row>
    <row r="54" spans="1:36" x14ac:dyDescent="0.25">
      <c r="A54" s="114">
        <v>30</v>
      </c>
      <c r="B54" s="115"/>
      <c r="C54" s="116"/>
      <c r="D54" s="117"/>
      <c r="E54" s="112"/>
      <c r="F54" s="97" t="str">
        <f>IF(C54="","",VLOOKUP(C54,'SCORE(1)'!$A$201:$N$420,2,FALSE))</f>
        <v/>
      </c>
      <c r="G54" s="97"/>
      <c r="H54" s="97"/>
      <c r="I54" s="97"/>
      <c r="J54" s="97"/>
      <c r="K54" s="97"/>
      <c r="L54" s="97"/>
      <c r="M54" s="97"/>
      <c r="N54" s="97" t="str">
        <f>IF(C54="","",VLOOKUP(C54,'SCORE(1)'!$A$201:$J$417,8,FALSE))</f>
        <v/>
      </c>
      <c r="O54" s="97"/>
      <c r="P54" s="97"/>
      <c r="Q54" s="97"/>
      <c r="R54" s="97" t="str">
        <f>IF(C54="","",'SCORE(1)'!H40)</f>
        <v/>
      </c>
      <c r="S54" s="97"/>
      <c r="T54" s="97"/>
      <c r="U54" s="97"/>
      <c r="V54" s="97" t="str">
        <f>IF(C54="","",VLOOKUP(C54,'SCORE(1)'!$A$201:$J$417,10,FALSE))</f>
        <v/>
      </c>
      <c r="W54" s="97"/>
      <c r="X54" s="97"/>
      <c r="Y54" s="97"/>
      <c r="Z54" s="97"/>
      <c r="AA54" s="97" t="str">
        <f>IF(C54="","",VLOOKUP(C54,'SCORE(1)'!$A$201:$J$417,7,FALSE))</f>
        <v/>
      </c>
      <c r="AB54" s="97"/>
      <c r="AC54" s="97"/>
      <c r="AD54" s="69"/>
      <c r="AE54" s="69"/>
      <c r="AF54" s="69"/>
      <c r="AG54" s="69"/>
      <c r="AH54" s="69"/>
      <c r="AI54" s="69"/>
      <c r="AJ54" s="69"/>
    </row>
    <row r="55" spans="1:36" x14ac:dyDescent="0.25">
      <c r="A55" s="114">
        <v>31</v>
      </c>
      <c r="B55" s="115"/>
      <c r="C55" s="116"/>
      <c r="D55" s="117"/>
      <c r="E55" s="112"/>
      <c r="F55" s="97" t="str">
        <f>IF(C55="","",VLOOKUP(C55,'SCORE(1)'!$A$201:$N$420,2,FALSE))</f>
        <v/>
      </c>
      <c r="G55" s="97"/>
      <c r="H55" s="97"/>
      <c r="I55" s="97"/>
      <c r="J55" s="97"/>
      <c r="K55" s="97"/>
      <c r="L55" s="97"/>
      <c r="M55" s="97"/>
      <c r="N55" s="97" t="str">
        <f>IF(C55="","",VLOOKUP(C55,'SCORE(1)'!$A$201:$J$417,8,FALSE))</f>
        <v/>
      </c>
      <c r="O55" s="97"/>
      <c r="P55" s="97"/>
      <c r="Q55" s="97"/>
      <c r="R55" s="97" t="str">
        <f>IF(C55="","",'SCORE(1)'!H41)</f>
        <v/>
      </c>
      <c r="S55" s="97"/>
      <c r="T55" s="97"/>
      <c r="U55" s="97"/>
      <c r="V55" s="97" t="str">
        <f>IF(C55="","",VLOOKUP(C55,'SCORE(1)'!$A$201:$J$417,10,FALSE))</f>
        <v/>
      </c>
      <c r="W55" s="97"/>
      <c r="X55" s="97"/>
      <c r="Y55" s="97"/>
      <c r="Z55" s="97"/>
      <c r="AA55" s="97" t="str">
        <f>IF(C55="","",VLOOKUP(C55,'SCORE(1)'!$A$201:$J$417,7,FALSE))</f>
        <v/>
      </c>
      <c r="AB55" s="97"/>
      <c r="AC55" s="97"/>
      <c r="AD55" s="69"/>
      <c r="AE55" s="69"/>
      <c r="AF55" s="69"/>
      <c r="AG55" s="69"/>
      <c r="AH55" s="69"/>
      <c r="AI55" s="69"/>
      <c r="AJ55" s="69"/>
    </row>
    <row r="56" spans="1:36" x14ac:dyDescent="0.25">
      <c r="A56" s="114">
        <v>32</v>
      </c>
      <c r="B56" s="115"/>
      <c r="C56" s="116"/>
      <c r="D56" s="117"/>
      <c r="E56" s="112"/>
      <c r="F56" s="97" t="str">
        <f>IF(C56="","",VLOOKUP(C56,'SCORE(1)'!$A$201:$N$420,2,FALSE))</f>
        <v/>
      </c>
      <c r="G56" s="97"/>
      <c r="H56" s="97"/>
      <c r="I56" s="97"/>
      <c r="J56" s="97"/>
      <c r="K56" s="97"/>
      <c r="L56" s="97"/>
      <c r="M56" s="97"/>
      <c r="N56" s="97" t="str">
        <f>IF(C56="","",VLOOKUP(C56,'SCORE(1)'!$A$201:$J$417,8,FALSE))</f>
        <v/>
      </c>
      <c r="O56" s="97"/>
      <c r="P56" s="97"/>
      <c r="Q56" s="97"/>
      <c r="R56" s="97" t="str">
        <f>IF(C56="","",'SCORE(1)'!H42)</f>
        <v/>
      </c>
      <c r="S56" s="97"/>
      <c r="T56" s="97"/>
      <c r="U56" s="97"/>
      <c r="V56" s="97" t="str">
        <f>IF(C56="","",VLOOKUP(C56,'SCORE(1)'!$A$201:$J$417,10,FALSE))</f>
        <v/>
      </c>
      <c r="W56" s="97"/>
      <c r="X56" s="97"/>
      <c r="Y56" s="97"/>
      <c r="Z56" s="97"/>
      <c r="AA56" s="97" t="str">
        <f>IF(C56="","",VLOOKUP(C56,'SCORE(1)'!$A$201:$J$417,7,FALSE))</f>
        <v/>
      </c>
      <c r="AB56" s="97"/>
      <c r="AC56" s="97"/>
      <c r="AD56" s="69"/>
      <c r="AE56" s="69"/>
      <c r="AF56" s="69"/>
      <c r="AG56" s="69"/>
      <c r="AH56" s="69"/>
      <c r="AI56" s="69"/>
      <c r="AJ56" s="69"/>
    </row>
    <row r="57" spans="1:36" x14ac:dyDescent="0.25">
      <c r="A57" s="114">
        <v>33</v>
      </c>
      <c r="B57" s="115"/>
      <c r="C57" s="116"/>
      <c r="D57" s="117"/>
      <c r="E57" s="112"/>
      <c r="F57" s="97" t="str">
        <f>IF(C57="","",VLOOKUP(C57,'SCORE(1)'!$A$201:$N$420,2,FALSE))</f>
        <v/>
      </c>
      <c r="G57" s="97"/>
      <c r="H57" s="97"/>
      <c r="I57" s="97"/>
      <c r="J57" s="97"/>
      <c r="K57" s="97"/>
      <c r="L57" s="97"/>
      <c r="M57" s="97"/>
      <c r="N57" s="97" t="str">
        <f>IF(C57="","",VLOOKUP(C57,'SCORE(1)'!$A$201:$J$417,8,FALSE))</f>
        <v/>
      </c>
      <c r="O57" s="97"/>
      <c r="P57" s="97"/>
      <c r="Q57" s="97"/>
      <c r="R57" s="97" t="str">
        <f>IF(C57="","",'SCORE(1)'!H43)</f>
        <v/>
      </c>
      <c r="S57" s="97"/>
      <c r="T57" s="97"/>
      <c r="U57" s="97"/>
      <c r="V57" s="97" t="str">
        <f>IF(C57="","",VLOOKUP(C57,'SCORE(1)'!$A$201:$J$417,10,FALSE))</f>
        <v/>
      </c>
      <c r="W57" s="97"/>
      <c r="X57" s="97"/>
      <c r="Y57" s="97"/>
      <c r="Z57" s="97"/>
      <c r="AA57" s="97" t="str">
        <f>IF(C57="","",VLOOKUP(C57,'SCORE(1)'!$A$201:$J$417,7,FALSE))</f>
        <v/>
      </c>
      <c r="AB57" s="97"/>
      <c r="AC57" s="97"/>
      <c r="AD57" s="69"/>
      <c r="AE57" s="69"/>
      <c r="AF57" s="69"/>
      <c r="AG57" s="69"/>
      <c r="AH57" s="69"/>
      <c r="AI57" s="69"/>
      <c r="AJ57" s="69"/>
    </row>
    <row r="58" spans="1:36" x14ac:dyDescent="0.25">
      <c r="A58" s="114">
        <v>34</v>
      </c>
      <c r="B58" s="115"/>
      <c r="C58" s="116"/>
      <c r="D58" s="117"/>
      <c r="E58" s="112"/>
      <c r="F58" s="97" t="str">
        <f>IF(C58="","",VLOOKUP(C58,'SCORE(1)'!$A$201:$N$420,2,FALSE))</f>
        <v/>
      </c>
      <c r="G58" s="97"/>
      <c r="H58" s="97"/>
      <c r="I58" s="97"/>
      <c r="J58" s="97"/>
      <c r="K58" s="97"/>
      <c r="L58" s="97"/>
      <c r="M58" s="97"/>
      <c r="N58" s="97" t="str">
        <f>IF(C58="","",VLOOKUP(C58,'SCORE(1)'!$A$201:$J$417,8,FALSE))</f>
        <v/>
      </c>
      <c r="O58" s="97"/>
      <c r="P58" s="97"/>
      <c r="Q58" s="97"/>
      <c r="R58" s="97" t="str">
        <f>IF(C58="","",'SCORE(1)'!H44)</f>
        <v/>
      </c>
      <c r="S58" s="97"/>
      <c r="T58" s="97"/>
      <c r="U58" s="97"/>
      <c r="V58" s="97" t="str">
        <f>IF(C58="","",VLOOKUP(C58,'SCORE(1)'!$A$201:$J$417,10,FALSE))</f>
        <v/>
      </c>
      <c r="W58" s="97"/>
      <c r="X58" s="97"/>
      <c r="Y58" s="97"/>
      <c r="Z58" s="97"/>
      <c r="AA58" s="97" t="str">
        <f>IF(C58="","",VLOOKUP(C58,'SCORE(1)'!$A$201:$J$417,7,FALSE))</f>
        <v/>
      </c>
      <c r="AB58" s="97"/>
      <c r="AC58" s="97"/>
      <c r="AD58" s="69"/>
      <c r="AE58" s="69"/>
      <c r="AF58" s="69"/>
      <c r="AG58" s="69"/>
      <c r="AH58" s="69"/>
      <c r="AI58" s="69"/>
      <c r="AJ58" s="69"/>
    </row>
    <row r="59" spans="1:36" x14ac:dyDescent="0.25">
      <c r="A59" s="114">
        <v>35</v>
      </c>
      <c r="B59" s="115"/>
      <c r="C59" s="116"/>
      <c r="D59" s="117"/>
      <c r="E59" s="112"/>
      <c r="F59" s="97" t="str">
        <f>IF(C59="","",VLOOKUP(C59,'SCORE(1)'!$A$201:$N$420,2,FALSE))</f>
        <v/>
      </c>
      <c r="G59" s="97"/>
      <c r="H59" s="97"/>
      <c r="I59" s="97"/>
      <c r="J59" s="97"/>
      <c r="K59" s="97"/>
      <c r="L59" s="97"/>
      <c r="M59" s="97"/>
      <c r="N59" s="97" t="str">
        <f>IF(C59="","",VLOOKUP(C59,'SCORE(1)'!$A$201:$J$417,8,FALSE))</f>
        <v/>
      </c>
      <c r="O59" s="97"/>
      <c r="P59" s="97"/>
      <c r="Q59" s="97"/>
      <c r="R59" s="97" t="str">
        <f>IF(C59="","",'SCORE(1)'!H45)</f>
        <v/>
      </c>
      <c r="S59" s="97"/>
      <c r="T59" s="97"/>
      <c r="U59" s="97"/>
      <c r="V59" s="97" t="str">
        <f>IF(C59="","",VLOOKUP(C59,'SCORE(1)'!$A$201:$J$417,10,FALSE))</f>
        <v/>
      </c>
      <c r="W59" s="97"/>
      <c r="X59" s="97"/>
      <c r="Y59" s="97"/>
      <c r="Z59" s="97"/>
      <c r="AA59" s="97" t="str">
        <f>IF(C59="","",VLOOKUP(C59,'SCORE(1)'!$A$201:$J$417,7,FALSE))</f>
        <v/>
      </c>
      <c r="AB59" s="97"/>
      <c r="AC59" s="97"/>
      <c r="AD59" s="69"/>
      <c r="AE59" s="69"/>
      <c r="AF59" s="69"/>
      <c r="AG59" s="69"/>
      <c r="AH59" s="69"/>
      <c r="AI59" s="69"/>
      <c r="AJ59" s="69"/>
    </row>
    <row r="60" spans="1:36" x14ac:dyDescent="0.25">
      <c r="A60" s="114">
        <v>36</v>
      </c>
      <c r="B60" s="115"/>
      <c r="C60" s="116"/>
      <c r="D60" s="117"/>
      <c r="E60" s="112"/>
      <c r="F60" s="97" t="str">
        <f>IF(C60="","",VLOOKUP(C60,'SCORE(1)'!$A$201:$N$420,2,FALSE))</f>
        <v/>
      </c>
      <c r="G60" s="97"/>
      <c r="H60" s="97"/>
      <c r="I60" s="97"/>
      <c r="J60" s="97"/>
      <c r="K60" s="97"/>
      <c r="L60" s="97"/>
      <c r="M60" s="97"/>
      <c r="N60" s="97" t="str">
        <f>IF(C60="","",VLOOKUP(C60,'SCORE(1)'!$A$201:$J$417,8,FALSE))</f>
        <v/>
      </c>
      <c r="O60" s="97"/>
      <c r="P60" s="97"/>
      <c r="Q60" s="97"/>
      <c r="R60" s="97" t="str">
        <f>IF(C60="","",'SCORE(1)'!H46)</f>
        <v/>
      </c>
      <c r="S60" s="97"/>
      <c r="T60" s="97"/>
      <c r="U60" s="97"/>
      <c r="V60" s="97" t="str">
        <f>IF(C60="","",VLOOKUP(C60,'SCORE(1)'!$A$201:$J$417,10,FALSE))</f>
        <v/>
      </c>
      <c r="W60" s="97"/>
      <c r="X60" s="97"/>
      <c r="Y60" s="97"/>
      <c r="Z60" s="97"/>
      <c r="AA60" s="97" t="str">
        <f>IF(C60="","",VLOOKUP(C60,'SCORE(1)'!$A$201:$J$417,7,FALSE))</f>
        <v/>
      </c>
      <c r="AB60" s="97"/>
      <c r="AC60" s="97"/>
      <c r="AD60" s="69"/>
      <c r="AE60" s="69"/>
      <c r="AF60" s="69"/>
      <c r="AG60" s="69"/>
      <c r="AH60" s="69"/>
      <c r="AI60" s="69"/>
      <c r="AJ60" s="69"/>
    </row>
    <row r="61" spans="1:36" x14ac:dyDescent="0.25">
      <c r="A61" s="114">
        <v>37</v>
      </c>
      <c r="B61" s="115"/>
      <c r="C61" s="116"/>
      <c r="D61" s="117"/>
      <c r="E61" s="112"/>
      <c r="F61" s="97" t="str">
        <f>IF(C61="","",VLOOKUP(C61,'SCORE(1)'!$A$201:$N$420,2,FALSE))</f>
        <v/>
      </c>
      <c r="G61" s="97"/>
      <c r="H61" s="97"/>
      <c r="I61" s="97"/>
      <c r="J61" s="97"/>
      <c r="K61" s="97"/>
      <c r="L61" s="97"/>
      <c r="M61" s="97"/>
      <c r="N61" s="97" t="str">
        <f>IF(C61="","",VLOOKUP(C61,'SCORE(1)'!$A$201:$J$417,8,FALSE))</f>
        <v/>
      </c>
      <c r="O61" s="97"/>
      <c r="P61" s="97"/>
      <c r="Q61" s="97"/>
      <c r="R61" s="97" t="str">
        <f>IF(C61="","",'SCORE(1)'!H47)</f>
        <v/>
      </c>
      <c r="S61" s="97"/>
      <c r="T61" s="97"/>
      <c r="U61" s="97"/>
      <c r="V61" s="97" t="str">
        <f>IF(C61="","",VLOOKUP(C61,'SCORE(1)'!$A$201:$J$417,10,FALSE))</f>
        <v/>
      </c>
      <c r="W61" s="97"/>
      <c r="X61" s="97"/>
      <c r="Y61" s="97"/>
      <c r="Z61" s="97"/>
      <c r="AA61" s="97" t="str">
        <f>IF(C61="","",VLOOKUP(C61,'SCORE(1)'!$A$201:$J$417,7,FALSE))</f>
        <v/>
      </c>
      <c r="AB61" s="97"/>
      <c r="AC61" s="97"/>
      <c r="AD61" s="69"/>
      <c r="AE61" s="69"/>
      <c r="AF61" s="69"/>
      <c r="AG61" s="69"/>
      <c r="AH61" s="69"/>
      <c r="AI61" s="69"/>
      <c r="AJ61" s="69"/>
    </row>
    <row r="62" spans="1:36" x14ac:dyDescent="0.25">
      <c r="A62" s="114">
        <v>38</v>
      </c>
      <c r="B62" s="115"/>
      <c r="C62" s="116"/>
      <c r="D62" s="117"/>
      <c r="E62" s="112"/>
      <c r="F62" s="97" t="str">
        <f>IF(C62="","",VLOOKUP(C62,'SCORE(1)'!$A$201:$N$420,2,FALSE))</f>
        <v/>
      </c>
      <c r="G62" s="97"/>
      <c r="H62" s="97"/>
      <c r="I62" s="97"/>
      <c r="J62" s="97"/>
      <c r="K62" s="97"/>
      <c r="L62" s="97"/>
      <c r="M62" s="97"/>
      <c r="N62" s="97" t="str">
        <f>IF(C62="","",VLOOKUP(C62,'SCORE(1)'!$A$201:$J$417,8,FALSE))</f>
        <v/>
      </c>
      <c r="O62" s="97"/>
      <c r="P62" s="97"/>
      <c r="Q62" s="97"/>
      <c r="R62" s="97" t="str">
        <f>IF(C62="","",'SCORE(1)'!H48)</f>
        <v/>
      </c>
      <c r="S62" s="97"/>
      <c r="T62" s="97"/>
      <c r="U62" s="97"/>
      <c r="V62" s="97" t="str">
        <f>IF(C62="","",VLOOKUP(C62,'SCORE(1)'!$A$201:$J$417,10,FALSE))</f>
        <v/>
      </c>
      <c r="W62" s="97"/>
      <c r="X62" s="97"/>
      <c r="Y62" s="97"/>
      <c r="Z62" s="97"/>
      <c r="AA62" s="97" t="str">
        <f>IF(C62="","",VLOOKUP(C62,'SCORE(1)'!$A$201:$J$417,7,FALSE))</f>
        <v/>
      </c>
      <c r="AB62" s="97"/>
      <c r="AC62" s="97"/>
      <c r="AD62" s="69"/>
      <c r="AE62" s="69"/>
      <c r="AF62" s="69"/>
      <c r="AG62" s="69"/>
      <c r="AH62" s="69"/>
      <c r="AI62" s="69"/>
      <c r="AJ62" s="69"/>
    </row>
    <row r="63" spans="1:36" x14ac:dyDescent="0.25">
      <c r="A63" s="114">
        <v>39</v>
      </c>
      <c r="B63" s="115"/>
      <c r="C63" s="116"/>
      <c r="D63" s="117"/>
      <c r="E63" s="112"/>
      <c r="F63" s="97" t="str">
        <f>IF(C63="","",VLOOKUP(C63,'SCORE(1)'!$A$201:$N$420,2,FALSE))</f>
        <v/>
      </c>
      <c r="G63" s="97"/>
      <c r="H63" s="97"/>
      <c r="I63" s="97"/>
      <c r="J63" s="97"/>
      <c r="K63" s="97"/>
      <c r="L63" s="97"/>
      <c r="M63" s="97"/>
      <c r="N63" s="97" t="str">
        <f>IF(C63="","",VLOOKUP(C63,'SCORE(1)'!$A$201:$J$417,8,FALSE))</f>
        <v/>
      </c>
      <c r="O63" s="97"/>
      <c r="P63" s="97"/>
      <c r="Q63" s="97"/>
      <c r="R63" s="97" t="str">
        <f>IF(C63="","",'SCORE(1)'!H49)</f>
        <v/>
      </c>
      <c r="S63" s="97"/>
      <c r="T63" s="97"/>
      <c r="U63" s="97"/>
      <c r="V63" s="97" t="str">
        <f>IF(C63="","",VLOOKUP(C63,'SCORE(1)'!$A$201:$J$417,10,FALSE))</f>
        <v/>
      </c>
      <c r="W63" s="97"/>
      <c r="X63" s="97"/>
      <c r="Y63" s="97"/>
      <c r="Z63" s="97"/>
      <c r="AA63" s="97" t="str">
        <f>IF(C63="","",VLOOKUP(C63,'SCORE(1)'!$A$201:$J$417,7,FALSE))</f>
        <v/>
      </c>
      <c r="AB63" s="97"/>
      <c r="AC63" s="97"/>
      <c r="AD63" s="69"/>
      <c r="AE63" s="69"/>
      <c r="AF63" s="69"/>
      <c r="AG63" s="69"/>
      <c r="AH63" s="69"/>
      <c r="AI63" s="69"/>
      <c r="AJ63" s="69"/>
    </row>
    <row r="64" spans="1:36" x14ac:dyDescent="0.25">
      <c r="A64" s="114">
        <v>40</v>
      </c>
      <c r="B64" s="115"/>
      <c r="C64" s="116"/>
      <c r="D64" s="117"/>
      <c r="E64" s="112"/>
      <c r="F64" s="97" t="str">
        <f>IF(C64="","",VLOOKUP(C64,'SCORE(1)'!$A$201:$N$420,2,FALSE))</f>
        <v/>
      </c>
      <c r="G64" s="97"/>
      <c r="H64" s="97"/>
      <c r="I64" s="97"/>
      <c r="J64" s="97"/>
      <c r="K64" s="97"/>
      <c r="L64" s="97"/>
      <c r="M64" s="97"/>
      <c r="N64" s="97" t="str">
        <f>IF(C64="","",VLOOKUP(C64,'SCORE(1)'!$A$201:$J$417,8,FALSE))</f>
        <v/>
      </c>
      <c r="O64" s="97"/>
      <c r="P64" s="97"/>
      <c r="Q64" s="97"/>
      <c r="R64" s="97" t="str">
        <f>IF(C64="","",'SCORE(1)'!H50)</f>
        <v/>
      </c>
      <c r="S64" s="97"/>
      <c r="T64" s="97"/>
      <c r="U64" s="97"/>
      <c r="V64" s="97" t="str">
        <f>IF(C64="","",VLOOKUP(C64,'SCORE(1)'!$A$201:$J$417,10,FALSE))</f>
        <v/>
      </c>
      <c r="W64" s="97"/>
      <c r="X64" s="97"/>
      <c r="Y64" s="97"/>
      <c r="Z64" s="97"/>
      <c r="AA64" s="97" t="str">
        <f>IF(C64="","",VLOOKUP(C64,'SCORE(1)'!$A$201:$J$417,7,FALSE))</f>
        <v/>
      </c>
      <c r="AB64" s="97"/>
      <c r="AC64" s="97"/>
      <c r="AD64" s="69"/>
      <c r="AE64" s="69"/>
      <c r="AF64" s="69"/>
      <c r="AG64" s="69"/>
      <c r="AH64" s="69"/>
      <c r="AI64" s="69"/>
      <c r="AJ64" s="69"/>
    </row>
    <row r="65" spans="1:36" x14ac:dyDescent="0.25">
      <c r="A65" s="114">
        <v>41</v>
      </c>
      <c r="B65" s="115"/>
      <c r="C65" s="116"/>
      <c r="D65" s="117"/>
      <c r="E65" s="112"/>
      <c r="F65" s="97" t="str">
        <f>IF(C65="","",VLOOKUP(C65,'SCORE(1)'!$A$201:$N$420,2,FALSE))</f>
        <v/>
      </c>
      <c r="G65" s="97"/>
      <c r="H65" s="97"/>
      <c r="I65" s="97"/>
      <c r="J65" s="97"/>
      <c r="K65" s="97"/>
      <c r="L65" s="97"/>
      <c r="M65" s="97"/>
      <c r="N65" s="97" t="str">
        <f>IF(C65="","",VLOOKUP(C65,'SCORE(1)'!$A$201:$J$417,8,FALSE))</f>
        <v/>
      </c>
      <c r="O65" s="97"/>
      <c r="P65" s="97"/>
      <c r="Q65" s="97"/>
      <c r="R65" s="97" t="str">
        <f>IF(C65="","",'SCORE(1)'!H51)</f>
        <v/>
      </c>
      <c r="S65" s="97"/>
      <c r="T65" s="97"/>
      <c r="U65" s="97"/>
      <c r="V65" s="97" t="str">
        <f>IF(C65="","",VLOOKUP(C65,'SCORE(1)'!$A$201:$J$417,10,FALSE))</f>
        <v/>
      </c>
      <c r="W65" s="97"/>
      <c r="X65" s="97"/>
      <c r="Y65" s="97"/>
      <c r="Z65" s="97"/>
      <c r="AA65" s="97" t="str">
        <f>IF(C65="","",VLOOKUP(C65,'SCORE(1)'!$A$201:$J$417,7,FALSE))</f>
        <v/>
      </c>
      <c r="AB65" s="97"/>
      <c r="AC65" s="97"/>
      <c r="AD65" s="69"/>
      <c r="AE65" s="69"/>
      <c r="AF65" s="69"/>
      <c r="AG65" s="69"/>
      <c r="AH65" s="69"/>
      <c r="AI65" s="69"/>
      <c r="AJ65" s="69"/>
    </row>
    <row r="66" spans="1:36" x14ac:dyDescent="0.25">
      <c r="A66" s="114">
        <v>42</v>
      </c>
      <c r="B66" s="115"/>
      <c r="C66" s="116"/>
      <c r="D66" s="117"/>
      <c r="E66" s="112"/>
      <c r="F66" s="97" t="str">
        <f>IF(C66="","",VLOOKUP(C66,'SCORE(1)'!$A$201:$N$420,2,FALSE))</f>
        <v/>
      </c>
      <c r="G66" s="97"/>
      <c r="H66" s="97"/>
      <c r="I66" s="97"/>
      <c r="J66" s="97"/>
      <c r="K66" s="97"/>
      <c r="L66" s="97"/>
      <c r="M66" s="97"/>
      <c r="N66" s="97" t="str">
        <f>IF(C66="","",VLOOKUP(C66,'SCORE(1)'!$A$201:$J$417,8,FALSE))</f>
        <v/>
      </c>
      <c r="O66" s="97"/>
      <c r="P66" s="97"/>
      <c r="Q66" s="97"/>
      <c r="R66" s="97" t="str">
        <f>IF(C66="","",'SCORE(1)'!H52)</f>
        <v/>
      </c>
      <c r="S66" s="97"/>
      <c r="T66" s="97"/>
      <c r="U66" s="97"/>
      <c r="V66" s="97" t="str">
        <f>IF(C66="","",VLOOKUP(C66,'SCORE(1)'!$A$201:$J$417,10,FALSE))</f>
        <v/>
      </c>
      <c r="W66" s="97"/>
      <c r="X66" s="97"/>
      <c r="Y66" s="97"/>
      <c r="Z66" s="97"/>
      <c r="AA66" s="97" t="str">
        <f>IF(C66="","",VLOOKUP(C66,'SCORE(1)'!$A$201:$J$417,7,FALSE))</f>
        <v/>
      </c>
      <c r="AB66" s="97"/>
      <c r="AC66" s="97"/>
      <c r="AD66" s="69"/>
      <c r="AE66" s="69"/>
      <c r="AF66" s="69"/>
      <c r="AG66" s="69"/>
      <c r="AH66" s="69"/>
      <c r="AI66" s="69"/>
      <c r="AJ66" s="69"/>
    </row>
    <row r="67" spans="1:36" x14ac:dyDescent="0.25">
      <c r="A67" s="114">
        <v>43</v>
      </c>
      <c r="B67" s="115"/>
      <c r="C67" s="116"/>
      <c r="D67" s="117"/>
      <c r="E67" s="112"/>
      <c r="F67" s="97" t="str">
        <f>IF(C67="","",VLOOKUP(C67,'SCORE(1)'!$A$201:$N$420,2,FALSE))</f>
        <v/>
      </c>
      <c r="G67" s="97"/>
      <c r="H67" s="97"/>
      <c r="I67" s="97"/>
      <c r="J67" s="97"/>
      <c r="K67" s="97"/>
      <c r="L67" s="97"/>
      <c r="M67" s="97"/>
      <c r="N67" s="97" t="str">
        <f>IF(C67="","",VLOOKUP(C67,'SCORE(1)'!$A$201:$J$417,8,FALSE))</f>
        <v/>
      </c>
      <c r="O67" s="97"/>
      <c r="P67" s="97"/>
      <c r="Q67" s="97"/>
      <c r="R67" s="97" t="str">
        <f>IF(C67="","",'SCORE(1)'!H53)</f>
        <v/>
      </c>
      <c r="S67" s="97"/>
      <c r="T67" s="97"/>
      <c r="U67" s="97"/>
      <c r="V67" s="97" t="str">
        <f>IF(C67="","",VLOOKUP(C67,'SCORE(1)'!$A$201:$J$417,10,FALSE))</f>
        <v/>
      </c>
      <c r="W67" s="97"/>
      <c r="X67" s="97"/>
      <c r="Y67" s="97"/>
      <c r="Z67" s="97"/>
      <c r="AA67" s="97" t="str">
        <f>IF(C67="","",VLOOKUP(C67,'SCORE(1)'!$A$201:$J$417,7,FALSE))</f>
        <v/>
      </c>
      <c r="AB67" s="97"/>
      <c r="AC67" s="97"/>
      <c r="AD67" s="69"/>
      <c r="AE67" s="69"/>
      <c r="AF67" s="69"/>
      <c r="AG67" s="69"/>
      <c r="AH67" s="69"/>
      <c r="AI67" s="69"/>
      <c r="AJ67" s="69"/>
    </row>
    <row r="68" spans="1:36" x14ac:dyDescent="0.25">
      <c r="A68" s="114">
        <v>44</v>
      </c>
      <c r="B68" s="115"/>
      <c r="C68" s="116"/>
      <c r="D68" s="117"/>
      <c r="E68" s="112"/>
      <c r="F68" s="97" t="str">
        <f>IF(C68="","",VLOOKUP(C68,'SCORE(1)'!$A$201:$N$420,2,FALSE))</f>
        <v/>
      </c>
      <c r="G68" s="97"/>
      <c r="H68" s="97"/>
      <c r="I68" s="97"/>
      <c r="J68" s="97"/>
      <c r="K68" s="97"/>
      <c r="L68" s="97"/>
      <c r="M68" s="97"/>
      <c r="N68" s="97" t="str">
        <f>IF(C68="","",VLOOKUP(C68,'SCORE(1)'!$A$201:$J$417,8,FALSE))</f>
        <v/>
      </c>
      <c r="O68" s="97"/>
      <c r="P68" s="97"/>
      <c r="Q68" s="97"/>
      <c r="R68" s="97" t="str">
        <f>IF(C68="","",'SCORE(1)'!H54)</f>
        <v/>
      </c>
      <c r="S68" s="97"/>
      <c r="T68" s="97"/>
      <c r="U68" s="97"/>
      <c r="V68" s="97" t="str">
        <f>IF(C68="","",VLOOKUP(C68,'SCORE(1)'!$A$201:$J$417,10,FALSE))</f>
        <v/>
      </c>
      <c r="W68" s="97"/>
      <c r="X68" s="97"/>
      <c r="Y68" s="97"/>
      <c r="Z68" s="97"/>
      <c r="AA68" s="97" t="str">
        <f>IF(C68="","",VLOOKUP(C68,'SCORE(1)'!$A$201:$J$417,7,FALSE))</f>
        <v/>
      </c>
      <c r="AB68" s="97"/>
      <c r="AC68" s="97"/>
      <c r="AD68" s="69"/>
      <c r="AE68" s="69"/>
      <c r="AF68" s="69"/>
      <c r="AG68" s="69"/>
      <c r="AH68" s="69"/>
      <c r="AI68" s="69"/>
      <c r="AJ68" s="69"/>
    </row>
    <row r="69" spans="1:36" x14ac:dyDescent="0.25">
      <c r="A69" s="114">
        <v>45</v>
      </c>
      <c r="B69" s="115"/>
      <c r="C69" s="116"/>
      <c r="D69" s="117"/>
      <c r="E69" s="112"/>
      <c r="F69" s="97" t="str">
        <f>IF(C69="","",VLOOKUP(C69,'SCORE(1)'!$A$201:$N$420,2,FALSE))</f>
        <v/>
      </c>
      <c r="G69" s="97"/>
      <c r="H69" s="97"/>
      <c r="I69" s="97"/>
      <c r="J69" s="97"/>
      <c r="K69" s="97"/>
      <c r="L69" s="97"/>
      <c r="M69" s="97"/>
      <c r="N69" s="97" t="str">
        <f>IF(C69="","",VLOOKUP(C69,'SCORE(1)'!$A$201:$J$417,8,FALSE))</f>
        <v/>
      </c>
      <c r="O69" s="97"/>
      <c r="P69" s="97"/>
      <c r="Q69" s="97"/>
      <c r="R69" s="97" t="str">
        <f>IF(C69="","",'SCORE(1)'!H55)</f>
        <v/>
      </c>
      <c r="S69" s="97"/>
      <c r="T69" s="97"/>
      <c r="U69" s="97"/>
      <c r="V69" s="97" t="str">
        <f>IF(C69="","",VLOOKUP(C69,'SCORE(1)'!$A$201:$J$417,10,FALSE))</f>
        <v/>
      </c>
      <c r="W69" s="97"/>
      <c r="X69" s="97"/>
      <c r="Y69" s="97"/>
      <c r="Z69" s="97"/>
      <c r="AA69" s="97" t="str">
        <f>IF(C69="","",VLOOKUP(C69,'SCORE(1)'!$A$201:$J$417,7,FALSE))</f>
        <v/>
      </c>
      <c r="AB69" s="97"/>
      <c r="AC69" s="97"/>
      <c r="AD69" s="69"/>
      <c r="AE69" s="69"/>
      <c r="AF69" s="69"/>
      <c r="AG69" s="69"/>
      <c r="AH69" s="69"/>
      <c r="AI69" s="69"/>
      <c r="AJ69" s="69"/>
    </row>
    <row r="70" spans="1:36" x14ac:dyDescent="0.25">
      <c r="A70" s="114">
        <v>46</v>
      </c>
      <c r="B70" s="115"/>
      <c r="C70" s="116"/>
      <c r="D70" s="117"/>
      <c r="E70" s="112"/>
      <c r="F70" s="97" t="str">
        <f>IF(C70="","",VLOOKUP(C70,'SCORE(1)'!$A$201:$N$420,2,FALSE))</f>
        <v/>
      </c>
      <c r="G70" s="97"/>
      <c r="H70" s="97"/>
      <c r="I70" s="97"/>
      <c r="J70" s="97"/>
      <c r="K70" s="97"/>
      <c r="L70" s="97"/>
      <c r="M70" s="97"/>
      <c r="N70" s="97" t="str">
        <f>IF(C70="","",VLOOKUP(C70,'SCORE(1)'!$A$201:$J$417,8,FALSE))</f>
        <v/>
      </c>
      <c r="O70" s="97"/>
      <c r="P70" s="97"/>
      <c r="Q70" s="97"/>
      <c r="R70" s="97" t="str">
        <f>IF(C70="","",'SCORE(1)'!H56)</f>
        <v/>
      </c>
      <c r="S70" s="97"/>
      <c r="T70" s="97"/>
      <c r="U70" s="97"/>
      <c r="V70" s="97" t="str">
        <f>IF(C70="","",VLOOKUP(C70,'SCORE(1)'!$A$201:$J$417,10,FALSE))</f>
        <v/>
      </c>
      <c r="W70" s="97"/>
      <c r="X70" s="97"/>
      <c r="Y70" s="97"/>
      <c r="Z70" s="97"/>
      <c r="AA70" s="97" t="str">
        <f>IF(C70="","",VLOOKUP(C70,'SCORE(1)'!$A$201:$J$417,7,FALSE))</f>
        <v/>
      </c>
      <c r="AB70" s="97"/>
      <c r="AC70" s="97"/>
      <c r="AD70" s="69"/>
      <c r="AE70" s="69"/>
      <c r="AF70" s="69"/>
      <c r="AG70" s="69"/>
      <c r="AH70" s="69"/>
      <c r="AI70" s="69"/>
      <c r="AJ70" s="69"/>
    </row>
    <row r="71" spans="1:36" x14ac:dyDescent="0.25">
      <c r="A71" s="114">
        <v>47</v>
      </c>
      <c r="B71" s="115"/>
      <c r="C71" s="116"/>
      <c r="D71" s="117"/>
      <c r="E71" s="112"/>
      <c r="F71" s="97" t="str">
        <f>IF(C71="","",VLOOKUP(C71,'SCORE(1)'!$A$201:$N$420,2,FALSE))</f>
        <v/>
      </c>
      <c r="G71" s="97"/>
      <c r="H71" s="97"/>
      <c r="I71" s="97"/>
      <c r="J71" s="97"/>
      <c r="K71" s="97"/>
      <c r="L71" s="97"/>
      <c r="M71" s="97"/>
      <c r="N71" s="97" t="str">
        <f>IF(C71="","",VLOOKUP(C71,'SCORE(1)'!$A$201:$J$417,8,FALSE))</f>
        <v/>
      </c>
      <c r="O71" s="97"/>
      <c r="P71" s="97"/>
      <c r="Q71" s="97"/>
      <c r="R71" s="97" t="str">
        <f>IF(C71="","",'SCORE(1)'!H57)</f>
        <v/>
      </c>
      <c r="S71" s="97"/>
      <c r="T71" s="97"/>
      <c r="U71" s="97"/>
      <c r="V71" s="97" t="str">
        <f>IF(C71="","",VLOOKUP(C71,'SCORE(1)'!$A$201:$J$417,10,FALSE))</f>
        <v/>
      </c>
      <c r="W71" s="97"/>
      <c r="X71" s="97"/>
      <c r="Y71" s="97"/>
      <c r="Z71" s="97"/>
      <c r="AA71" s="97" t="str">
        <f>IF(C71="","",VLOOKUP(C71,'SCORE(1)'!$A$201:$J$417,7,FALSE))</f>
        <v/>
      </c>
      <c r="AB71" s="97"/>
      <c r="AC71" s="97"/>
      <c r="AD71" s="69"/>
      <c r="AE71" s="69"/>
      <c r="AF71" s="69"/>
      <c r="AG71" s="69"/>
      <c r="AH71" s="69"/>
      <c r="AI71" s="69"/>
      <c r="AJ71" s="69"/>
    </row>
    <row r="72" spans="1:36" x14ac:dyDescent="0.25">
      <c r="A72" s="114">
        <v>48</v>
      </c>
      <c r="B72" s="115"/>
      <c r="C72" s="116"/>
      <c r="D72" s="117"/>
      <c r="E72" s="112"/>
      <c r="F72" s="97" t="str">
        <f>IF(C72="","",VLOOKUP(C72,'SCORE(1)'!$A$201:$N$420,2,FALSE))</f>
        <v/>
      </c>
      <c r="G72" s="97"/>
      <c r="H72" s="97"/>
      <c r="I72" s="97"/>
      <c r="J72" s="97"/>
      <c r="K72" s="97"/>
      <c r="L72" s="97"/>
      <c r="M72" s="97"/>
      <c r="N72" s="97" t="str">
        <f>IF(C72="","",VLOOKUP(C72,'SCORE(1)'!$A$201:$J$417,8,FALSE))</f>
        <v/>
      </c>
      <c r="O72" s="97"/>
      <c r="P72" s="97"/>
      <c r="Q72" s="97"/>
      <c r="R72" s="97" t="str">
        <f>IF(C72="","",'SCORE(1)'!H58)</f>
        <v/>
      </c>
      <c r="S72" s="97"/>
      <c r="T72" s="97"/>
      <c r="U72" s="97"/>
      <c r="V72" s="97" t="str">
        <f>IF(C72="","",VLOOKUP(C72,'SCORE(1)'!$A$201:$J$417,10,FALSE))</f>
        <v/>
      </c>
      <c r="W72" s="97"/>
      <c r="X72" s="97"/>
      <c r="Y72" s="97"/>
      <c r="Z72" s="97"/>
      <c r="AA72" s="97" t="str">
        <f>IF(C72="","",VLOOKUP(C72,'SCORE(1)'!$A$201:$J$417,7,FALSE))</f>
        <v/>
      </c>
      <c r="AB72" s="97"/>
      <c r="AC72" s="97"/>
      <c r="AD72" s="69"/>
      <c r="AE72" s="69"/>
      <c r="AF72" s="69"/>
      <c r="AG72" s="69"/>
      <c r="AH72" s="69"/>
      <c r="AI72" s="69"/>
      <c r="AJ72" s="69"/>
    </row>
    <row r="73" spans="1:36" x14ac:dyDescent="0.25">
      <c r="A73" s="114">
        <v>49</v>
      </c>
      <c r="B73" s="115"/>
      <c r="C73" s="116"/>
      <c r="D73" s="117"/>
      <c r="E73" s="112"/>
      <c r="F73" s="97" t="str">
        <f>IF(C73="","",VLOOKUP(C73,'SCORE(1)'!$A$201:$N$420,2,FALSE))</f>
        <v/>
      </c>
      <c r="G73" s="97"/>
      <c r="H73" s="97"/>
      <c r="I73" s="97"/>
      <c r="J73" s="97"/>
      <c r="K73" s="97"/>
      <c r="L73" s="97"/>
      <c r="M73" s="97"/>
      <c r="N73" s="97" t="str">
        <f>IF(C73="","",VLOOKUP(C73,'SCORE(1)'!$A$201:$J$417,8,FALSE))</f>
        <v/>
      </c>
      <c r="O73" s="97"/>
      <c r="P73" s="97"/>
      <c r="Q73" s="97"/>
      <c r="R73" s="97" t="str">
        <f>IF(C73="","",'SCORE(1)'!H59)</f>
        <v/>
      </c>
      <c r="S73" s="97"/>
      <c r="T73" s="97"/>
      <c r="U73" s="97"/>
      <c r="V73" s="97" t="str">
        <f>IF(C73="","",VLOOKUP(C73,'SCORE(1)'!$A$201:$J$417,10,FALSE))</f>
        <v/>
      </c>
      <c r="W73" s="97"/>
      <c r="X73" s="97"/>
      <c r="Y73" s="97"/>
      <c r="Z73" s="97"/>
      <c r="AA73" s="97" t="str">
        <f>IF(C73="","",VLOOKUP(C73,'SCORE(1)'!$A$201:$J$417,7,FALSE))</f>
        <v/>
      </c>
      <c r="AB73" s="97"/>
      <c r="AC73" s="97"/>
      <c r="AD73" s="69"/>
      <c r="AE73" s="69"/>
      <c r="AF73" s="69"/>
      <c r="AG73" s="69"/>
      <c r="AH73" s="69"/>
      <c r="AI73" s="69"/>
      <c r="AJ73" s="69"/>
    </row>
    <row r="74" spans="1:36" x14ac:dyDescent="0.25">
      <c r="A74" s="114">
        <v>50</v>
      </c>
      <c r="B74" s="115"/>
      <c r="C74" s="116"/>
      <c r="D74" s="117"/>
      <c r="E74" s="112"/>
      <c r="F74" s="97" t="str">
        <f>IF(C74="","",VLOOKUP(C74,'SCORE(1)'!$A$201:$N$420,2,FALSE))</f>
        <v/>
      </c>
      <c r="G74" s="97"/>
      <c r="H74" s="97"/>
      <c r="I74" s="97"/>
      <c r="J74" s="97"/>
      <c r="K74" s="97"/>
      <c r="L74" s="97"/>
      <c r="M74" s="97"/>
      <c r="N74" s="97" t="str">
        <f>IF(C74="","",VLOOKUP(C74,'SCORE(1)'!$A$201:$J$417,8,FALSE))</f>
        <v/>
      </c>
      <c r="O74" s="97"/>
      <c r="P74" s="97"/>
      <c r="Q74" s="97"/>
      <c r="R74" s="97" t="str">
        <f>IF(C74="","",'SCORE(1)'!H60)</f>
        <v/>
      </c>
      <c r="S74" s="97"/>
      <c r="T74" s="97"/>
      <c r="U74" s="97"/>
      <c r="V74" s="97" t="str">
        <f>IF(C74="","",VLOOKUP(C74,'SCORE(1)'!$A$201:$J$417,10,FALSE))</f>
        <v/>
      </c>
      <c r="W74" s="97"/>
      <c r="X74" s="97"/>
      <c r="Y74" s="97"/>
      <c r="Z74" s="97"/>
      <c r="AA74" s="97" t="str">
        <f>IF(C74="","",VLOOKUP(C74,'SCORE(1)'!$A$201:$J$417,7,FALSE))</f>
        <v/>
      </c>
      <c r="AB74" s="97"/>
      <c r="AC74" s="97"/>
      <c r="AD74" s="69"/>
      <c r="AE74" s="69"/>
      <c r="AF74" s="69"/>
      <c r="AG74" s="69"/>
      <c r="AH74" s="69"/>
      <c r="AI74" s="69"/>
      <c r="AJ74" s="69"/>
    </row>
    <row r="75" spans="1:36" x14ac:dyDescent="0.25">
      <c r="A75" s="114">
        <v>51</v>
      </c>
      <c r="B75" s="115"/>
      <c r="C75" s="116"/>
      <c r="D75" s="117"/>
      <c r="E75" s="112"/>
      <c r="F75" s="97" t="str">
        <f>IF(C75="","",VLOOKUP(C75,'SCORE(1)'!$A$201:$N$420,2,FALSE))</f>
        <v/>
      </c>
      <c r="G75" s="97"/>
      <c r="H75" s="97"/>
      <c r="I75" s="97"/>
      <c r="J75" s="97"/>
      <c r="K75" s="97"/>
      <c r="L75" s="97"/>
      <c r="M75" s="97"/>
      <c r="N75" s="97" t="str">
        <f>IF(C75="","",VLOOKUP(C75,'SCORE(1)'!$A$201:$J$417,8,FALSE))</f>
        <v/>
      </c>
      <c r="O75" s="97"/>
      <c r="P75" s="97"/>
      <c r="Q75" s="97"/>
      <c r="R75" s="97" t="str">
        <f>IF(C75="","",'SCORE(1)'!H61)</f>
        <v/>
      </c>
      <c r="S75" s="97"/>
      <c r="T75" s="97"/>
      <c r="U75" s="97"/>
      <c r="V75" s="97" t="str">
        <f>IF(C75="","",VLOOKUP(C75,'SCORE(1)'!$A$201:$J$417,10,FALSE))</f>
        <v/>
      </c>
      <c r="W75" s="97"/>
      <c r="X75" s="97"/>
      <c r="Y75" s="97"/>
      <c r="Z75" s="97"/>
      <c r="AA75" s="97" t="str">
        <f>IF(C75="","",VLOOKUP(C75,'SCORE(1)'!$A$201:$J$417,7,FALSE))</f>
        <v/>
      </c>
      <c r="AB75" s="97"/>
      <c r="AC75" s="97"/>
      <c r="AD75" s="69"/>
      <c r="AE75" s="69"/>
      <c r="AF75" s="69"/>
      <c r="AG75" s="69"/>
      <c r="AH75" s="69"/>
      <c r="AI75" s="69"/>
      <c r="AJ75" s="69"/>
    </row>
    <row r="76" spans="1:36" x14ac:dyDescent="0.25">
      <c r="A76" s="114">
        <v>52</v>
      </c>
      <c r="B76" s="115"/>
      <c r="C76" s="116"/>
      <c r="D76" s="117"/>
      <c r="E76" s="112"/>
      <c r="F76" s="97" t="str">
        <f>IF(C76="","",VLOOKUP(C76,'SCORE(1)'!$A$201:$N$420,2,FALSE))</f>
        <v/>
      </c>
      <c r="G76" s="97"/>
      <c r="H76" s="97"/>
      <c r="I76" s="97"/>
      <c r="J76" s="97"/>
      <c r="K76" s="97"/>
      <c r="L76" s="97"/>
      <c r="M76" s="97"/>
      <c r="N76" s="97" t="str">
        <f>IF(C76="","",VLOOKUP(C76,'SCORE(1)'!$A$201:$J$417,8,FALSE))</f>
        <v/>
      </c>
      <c r="O76" s="97"/>
      <c r="P76" s="97"/>
      <c r="Q76" s="97"/>
      <c r="R76" s="97" t="str">
        <f>IF(C76="","",'SCORE(1)'!H62)</f>
        <v/>
      </c>
      <c r="S76" s="97"/>
      <c r="T76" s="97"/>
      <c r="U76" s="97"/>
      <c r="V76" s="97" t="str">
        <f>IF(C76="","",VLOOKUP(C76,'SCORE(1)'!$A$201:$J$417,10,FALSE))</f>
        <v/>
      </c>
      <c r="W76" s="97"/>
      <c r="X76" s="97"/>
      <c r="Y76" s="97"/>
      <c r="Z76" s="97"/>
      <c r="AA76" s="97" t="str">
        <f>IF(C76="","",VLOOKUP(C76,'SCORE(1)'!$A$201:$J$417,7,FALSE))</f>
        <v/>
      </c>
      <c r="AB76" s="97"/>
      <c r="AC76" s="97"/>
      <c r="AD76" s="69"/>
      <c r="AE76" s="69"/>
      <c r="AF76" s="69"/>
      <c r="AG76" s="69"/>
      <c r="AH76" s="69"/>
      <c r="AI76" s="69"/>
      <c r="AJ76" s="69"/>
    </row>
    <row r="77" spans="1:36" x14ac:dyDescent="0.25">
      <c r="A77" s="114">
        <v>53</v>
      </c>
      <c r="B77" s="115"/>
      <c r="C77" s="116"/>
      <c r="D77" s="117"/>
      <c r="E77" s="112"/>
      <c r="F77" s="97" t="str">
        <f>IF(C77="","",VLOOKUP(C77,'SCORE(1)'!$A$201:$N$420,2,FALSE))</f>
        <v/>
      </c>
      <c r="G77" s="97"/>
      <c r="H77" s="97"/>
      <c r="I77" s="97"/>
      <c r="J77" s="97"/>
      <c r="K77" s="97"/>
      <c r="L77" s="97"/>
      <c r="M77" s="97"/>
      <c r="N77" s="97" t="str">
        <f>IF(C77="","",VLOOKUP(C77,'SCORE(1)'!$A$201:$J$417,8,FALSE))</f>
        <v/>
      </c>
      <c r="O77" s="97"/>
      <c r="P77" s="97"/>
      <c r="Q77" s="97"/>
      <c r="R77" s="97" t="str">
        <f>IF(C77="","",'SCORE(1)'!H63)</f>
        <v/>
      </c>
      <c r="S77" s="97"/>
      <c r="T77" s="97"/>
      <c r="U77" s="97"/>
      <c r="V77" s="97" t="str">
        <f>IF(C77="","",VLOOKUP(C77,'SCORE(1)'!$A$201:$J$417,10,FALSE))</f>
        <v/>
      </c>
      <c r="W77" s="97"/>
      <c r="X77" s="97"/>
      <c r="Y77" s="97"/>
      <c r="Z77" s="97"/>
      <c r="AA77" s="97" t="str">
        <f>IF(C77="","",VLOOKUP(C77,'SCORE(1)'!$A$201:$J$417,7,FALSE))</f>
        <v/>
      </c>
      <c r="AB77" s="97"/>
      <c r="AC77" s="97"/>
      <c r="AD77" s="69"/>
      <c r="AE77" s="69"/>
      <c r="AF77" s="69"/>
      <c r="AG77" s="69"/>
      <c r="AH77" s="69"/>
      <c r="AI77" s="69"/>
      <c r="AJ77" s="69"/>
    </row>
    <row r="78" spans="1:36" x14ac:dyDescent="0.25">
      <c r="A78" s="114">
        <v>54</v>
      </c>
      <c r="B78" s="115"/>
      <c r="C78" s="116"/>
      <c r="D78" s="117"/>
      <c r="E78" s="112"/>
      <c r="F78" s="97" t="str">
        <f>IF(C78="","",VLOOKUP(C78,'SCORE(1)'!$A$201:$N$420,2,FALSE))</f>
        <v/>
      </c>
      <c r="G78" s="97"/>
      <c r="H78" s="97"/>
      <c r="I78" s="97"/>
      <c r="J78" s="97"/>
      <c r="K78" s="97"/>
      <c r="L78" s="97"/>
      <c r="M78" s="97"/>
      <c r="N78" s="97" t="str">
        <f>IF(C78="","",VLOOKUP(C78,'SCORE(1)'!$A$201:$J$417,8,FALSE))</f>
        <v/>
      </c>
      <c r="O78" s="97"/>
      <c r="P78" s="97"/>
      <c r="Q78" s="97"/>
      <c r="R78" s="97" t="str">
        <f>IF(C78="","",'SCORE(1)'!H64)</f>
        <v/>
      </c>
      <c r="S78" s="97"/>
      <c r="T78" s="97"/>
      <c r="U78" s="97"/>
      <c r="V78" s="97" t="str">
        <f>IF(C78="","",VLOOKUP(C78,'SCORE(1)'!$A$201:$J$417,10,FALSE))</f>
        <v/>
      </c>
      <c r="W78" s="97"/>
      <c r="X78" s="97"/>
      <c r="Y78" s="97"/>
      <c r="Z78" s="97"/>
      <c r="AA78" s="97" t="str">
        <f>IF(C78="","",VLOOKUP(C78,'SCORE(1)'!$A$201:$J$417,7,FALSE))</f>
        <v/>
      </c>
      <c r="AB78" s="97"/>
      <c r="AC78" s="97"/>
      <c r="AD78" s="69"/>
      <c r="AE78" s="69"/>
      <c r="AF78" s="69"/>
      <c r="AG78" s="69"/>
      <c r="AH78" s="69"/>
      <c r="AI78" s="69"/>
      <c r="AJ78" s="69"/>
    </row>
    <row r="79" spans="1:36" x14ac:dyDescent="0.25">
      <c r="A79" s="114">
        <v>55</v>
      </c>
      <c r="B79" s="115"/>
      <c r="C79" s="112"/>
      <c r="D79" s="113"/>
      <c r="E79" s="113"/>
      <c r="F79" s="97" t="str">
        <f>IF(C79="","",VLOOKUP(C79,'SCORE(1)'!$A$201:$N$420,2,FALSE))</f>
        <v/>
      </c>
      <c r="G79" s="97"/>
      <c r="H79" s="97"/>
      <c r="I79" s="97"/>
      <c r="J79" s="97"/>
      <c r="K79" s="97"/>
      <c r="L79" s="97"/>
      <c r="M79" s="97"/>
      <c r="N79" s="97" t="str">
        <f>IF(C79="","",VLOOKUP(C79,'SCORE(1)'!$A$201:$J$417,8,FALSE))</f>
        <v/>
      </c>
      <c r="O79" s="97"/>
      <c r="P79" s="97"/>
      <c r="Q79" s="97"/>
      <c r="R79" s="97" t="str">
        <f>IF(C79="","",'SCORE(1)'!H65)</f>
        <v/>
      </c>
      <c r="S79" s="97"/>
      <c r="T79" s="97"/>
      <c r="U79" s="97"/>
      <c r="V79" s="97" t="str">
        <f>IF(C79="","",VLOOKUP(C79,'SCORE(1)'!$A$201:$J$417,10,FALSE))</f>
        <v/>
      </c>
      <c r="W79" s="97"/>
      <c r="X79" s="97"/>
      <c r="Y79" s="97"/>
      <c r="Z79" s="97"/>
      <c r="AA79" s="97" t="str">
        <f>IF(C79="","",VLOOKUP(C79,'SCORE(1)'!$A$201:$J$417,7,FALSE))</f>
        <v/>
      </c>
      <c r="AB79" s="97"/>
      <c r="AC79" s="97"/>
      <c r="AD79" s="69"/>
      <c r="AE79" s="69"/>
      <c r="AF79" s="69"/>
      <c r="AG79" s="69"/>
      <c r="AH79" s="69"/>
      <c r="AI79" s="69"/>
      <c r="AJ79" s="69"/>
    </row>
    <row r="80" spans="1:36" x14ac:dyDescent="0.25">
      <c r="A80" s="114">
        <v>56</v>
      </c>
      <c r="B80" s="115"/>
      <c r="C80" s="112"/>
      <c r="D80" s="113"/>
      <c r="E80" s="113"/>
      <c r="F80" s="97" t="str">
        <f>IF(C80="","",VLOOKUP(C80,'SCORE(1)'!$A$201:$N$420,2,FALSE))</f>
        <v/>
      </c>
      <c r="G80" s="97"/>
      <c r="H80" s="97"/>
      <c r="I80" s="97"/>
      <c r="J80" s="97"/>
      <c r="K80" s="97"/>
      <c r="L80" s="97"/>
      <c r="M80" s="97"/>
      <c r="N80" s="97" t="str">
        <f>IF(C80="","",VLOOKUP(C80,'SCORE(1)'!$A$201:$J$417,8,FALSE))</f>
        <v/>
      </c>
      <c r="O80" s="97"/>
      <c r="P80" s="97"/>
      <c r="Q80" s="97"/>
      <c r="R80" s="97" t="str">
        <f>IF(C80="","",'SCORE(1)'!H66)</f>
        <v/>
      </c>
      <c r="S80" s="97"/>
      <c r="T80" s="97"/>
      <c r="U80" s="97"/>
      <c r="V80" s="97" t="str">
        <f>IF(C80="","",VLOOKUP(C80,'SCORE(1)'!$A$201:$J$417,10,FALSE))</f>
        <v/>
      </c>
      <c r="W80" s="97"/>
      <c r="X80" s="97"/>
      <c r="Y80" s="97"/>
      <c r="Z80" s="97"/>
      <c r="AA80" s="97" t="str">
        <f>IF(C80="","",VLOOKUP(C80,'SCORE(1)'!$A$201:$J$417,7,FALSE))</f>
        <v/>
      </c>
      <c r="AB80" s="97"/>
      <c r="AC80" s="97"/>
      <c r="AD80" s="69"/>
      <c r="AE80" s="69"/>
      <c r="AF80" s="69"/>
      <c r="AG80" s="69"/>
      <c r="AH80" s="69"/>
      <c r="AI80" s="69"/>
      <c r="AJ80" s="69"/>
    </row>
    <row r="81" spans="1:36" x14ac:dyDescent="0.25">
      <c r="A81" s="114">
        <v>57</v>
      </c>
      <c r="B81" s="115"/>
      <c r="C81" s="112"/>
      <c r="D81" s="113"/>
      <c r="E81" s="113"/>
      <c r="F81" s="97" t="str">
        <f>IF(C81="","",VLOOKUP(C81,'SCORE(1)'!$A$201:$N$420,2,FALSE))</f>
        <v/>
      </c>
      <c r="G81" s="97"/>
      <c r="H81" s="97"/>
      <c r="I81" s="97"/>
      <c r="J81" s="97"/>
      <c r="K81" s="97"/>
      <c r="L81" s="97"/>
      <c r="M81" s="97"/>
      <c r="N81" s="97" t="str">
        <f>IF(C81="","",VLOOKUP(C81,'SCORE(1)'!$A$201:$J$417,8,FALSE))</f>
        <v/>
      </c>
      <c r="O81" s="97"/>
      <c r="P81" s="97"/>
      <c r="Q81" s="97"/>
      <c r="R81" s="97" t="str">
        <f>IF(C81="","",'SCORE(1)'!H67)</f>
        <v/>
      </c>
      <c r="S81" s="97"/>
      <c r="T81" s="97"/>
      <c r="U81" s="97"/>
      <c r="V81" s="97" t="str">
        <f>IF(C81="","",VLOOKUP(C81,'SCORE(1)'!$A$201:$J$417,10,FALSE))</f>
        <v/>
      </c>
      <c r="W81" s="97"/>
      <c r="X81" s="97"/>
      <c r="Y81" s="97"/>
      <c r="Z81" s="97"/>
      <c r="AA81" s="97" t="str">
        <f>IF(C81="","",VLOOKUP(C81,'SCORE(1)'!$A$201:$J$417,7,FALSE))</f>
        <v/>
      </c>
      <c r="AB81" s="97"/>
      <c r="AC81" s="97"/>
      <c r="AD81" s="69"/>
      <c r="AE81" s="69"/>
      <c r="AF81" s="69"/>
      <c r="AG81" s="69"/>
      <c r="AH81" s="69"/>
      <c r="AI81" s="69"/>
      <c r="AJ81" s="69"/>
    </row>
    <row r="82" spans="1:36" x14ac:dyDescent="0.25">
      <c r="A82" s="114">
        <v>58</v>
      </c>
      <c r="B82" s="115"/>
      <c r="C82" s="112"/>
      <c r="D82" s="113"/>
      <c r="E82" s="113"/>
      <c r="F82" s="97" t="str">
        <f>IF(C82="","",VLOOKUP(C82,'SCORE(1)'!$A$201:$N$420,2,FALSE))</f>
        <v/>
      </c>
      <c r="G82" s="97"/>
      <c r="H82" s="97"/>
      <c r="I82" s="97"/>
      <c r="J82" s="97"/>
      <c r="K82" s="97"/>
      <c r="L82" s="97"/>
      <c r="M82" s="97"/>
      <c r="N82" s="97" t="str">
        <f>IF(C82="","",VLOOKUP(C82,'SCORE(1)'!$A$201:$J$417,8,FALSE))</f>
        <v/>
      </c>
      <c r="O82" s="97"/>
      <c r="P82" s="97"/>
      <c r="Q82" s="97"/>
      <c r="R82" s="97" t="str">
        <f>IF(C82="","",'SCORE(1)'!H68)</f>
        <v/>
      </c>
      <c r="S82" s="97"/>
      <c r="T82" s="97"/>
      <c r="U82" s="97"/>
      <c r="V82" s="97" t="str">
        <f>IF(C82="","",VLOOKUP(C82,'SCORE(1)'!$A$201:$J$417,10,FALSE))</f>
        <v/>
      </c>
      <c r="W82" s="97"/>
      <c r="X82" s="97"/>
      <c r="Y82" s="97"/>
      <c r="Z82" s="97"/>
      <c r="AA82" s="97" t="str">
        <f>IF(C82="","",VLOOKUP(C82,'SCORE(1)'!$A$201:$J$417,7,FALSE))</f>
        <v/>
      </c>
      <c r="AB82" s="97"/>
      <c r="AC82" s="97"/>
      <c r="AD82" s="69"/>
      <c r="AE82" s="69"/>
      <c r="AF82" s="69"/>
      <c r="AG82" s="69"/>
      <c r="AH82" s="69"/>
      <c r="AI82" s="69"/>
      <c r="AJ82" s="69"/>
    </row>
    <row r="83" spans="1:36" x14ac:dyDescent="0.25">
      <c r="A83" s="114">
        <v>59</v>
      </c>
      <c r="B83" s="115"/>
      <c r="C83" s="112"/>
      <c r="D83" s="113"/>
      <c r="E83" s="113"/>
      <c r="F83" s="97" t="str">
        <f>IF(C83="","",VLOOKUP(C83,'SCORE(1)'!$A$201:$N$420,2,FALSE))</f>
        <v/>
      </c>
      <c r="G83" s="97"/>
      <c r="H83" s="97"/>
      <c r="I83" s="97"/>
      <c r="J83" s="97"/>
      <c r="K83" s="97"/>
      <c r="L83" s="97"/>
      <c r="M83" s="97"/>
      <c r="N83" s="97" t="str">
        <f>IF(C83="","",VLOOKUP(C83,'SCORE(1)'!$A$201:$J$417,8,FALSE))</f>
        <v/>
      </c>
      <c r="O83" s="97"/>
      <c r="P83" s="97"/>
      <c r="Q83" s="97"/>
      <c r="R83" s="97" t="str">
        <f>IF(C83="","",'SCORE(1)'!H69)</f>
        <v/>
      </c>
      <c r="S83" s="97"/>
      <c r="T83" s="97"/>
      <c r="U83" s="97"/>
      <c r="V83" s="97" t="str">
        <f>IF(C83="","",VLOOKUP(C83,'SCORE(1)'!$A$201:$J$417,10,FALSE))</f>
        <v/>
      </c>
      <c r="W83" s="97"/>
      <c r="X83" s="97"/>
      <c r="Y83" s="97"/>
      <c r="Z83" s="97"/>
      <c r="AA83" s="97" t="str">
        <f>IF(C83="","",VLOOKUP(C83,'SCORE(1)'!$A$201:$J$417,7,FALSE))</f>
        <v/>
      </c>
      <c r="AB83" s="97"/>
      <c r="AC83" s="97"/>
      <c r="AD83" s="69"/>
      <c r="AE83" s="69"/>
      <c r="AF83" s="69"/>
      <c r="AG83" s="69"/>
      <c r="AH83" s="69"/>
      <c r="AI83" s="69"/>
      <c r="AJ83" s="69"/>
    </row>
    <row r="84" spans="1:36" x14ac:dyDescent="0.25">
      <c r="A84" s="114">
        <v>60</v>
      </c>
      <c r="B84" s="115"/>
      <c r="C84" s="112"/>
      <c r="D84" s="113"/>
      <c r="E84" s="113"/>
      <c r="F84" s="97" t="str">
        <f>IF(C84="","",VLOOKUP(C84,'SCORE(1)'!$A$201:$N$420,2,FALSE))</f>
        <v/>
      </c>
      <c r="G84" s="97"/>
      <c r="H84" s="97"/>
      <c r="I84" s="97"/>
      <c r="J84" s="97"/>
      <c r="K84" s="97"/>
      <c r="L84" s="97"/>
      <c r="M84" s="97"/>
      <c r="N84" s="97" t="str">
        <f>IF(C84="","",VLOOKUP(C84,'SCORE(1)'!$A$201:$J$417,8,FALSE))</f>
        <v/>
      </c>
      <c r="O84" s="97"/>
      <c r="P84" s="97"/>
      <c r="Q84" s="97"/>
      <c r="R84" s="97" t="str">
        <f>IF(C84="","",'SCORE(1)'!H70)</f>
        <v/>
      </c>
      <c r="S84" s="97"/>
      <c r="T84" s="97"/>
      <c r="U84" s="97"/>
      <c r="V84" s="97" t="str">
        <f>IF(C84="","",VLOOKUP(C84,'SCORE(1)'!$A$201:$J$417,10,FALSE))</f>
        <v/>
      </c>
      <c r="W84" s="97"/>
      <c r="X84" s="97"/>
      <c r="Y84" s="97"/>
      <c r="Z84" s="97"/>
      <c r="AA84" s="97" t="str">
        <f>IF(C84="","",VLOOKUP(C84,'SCORE(1)'!$A$201:$J$417,7,FALSE))</f>
        <v/>
      </c>
      <c r="AB84" s="97"/>
      <c r="AC84" s="97"/>
      <c r="AD84" s="69"/>
      <c r="AE84" s="69"/>
      <c r="AF84" s="69"/>
      <c r="AG84" s="69"/>
      <c r="AH84" s="69"/>
      <c r="AI84" s="69"/>
      <c r="AJ84" s="69"/>
    </row>
    <row r="85" spans="1:36" x14ac:dyDescent="0.25">
      <c r="A85" s="114">
        <v>61</v>
      </c>
      <c r="B85" s="115"/>
      <c r="C85" s="112"/>
      <c r="D85" s="113"/>
      <c r="E85" s="113"/>
      <c r="F85" s="97" t="str">
        <f>IF(C85="","",VLOOKUP(C85,'SCORE(1)'!$A$201:$N$420,2,FALSE))</f>
        <v/>
      </c>
      <c r="G85" s="97"/>
      <c r="H85" s="97"/>
      <c r="I85" s="97"/>
      <c r="J85" s="97"/>
      <c r="K85" s="97"/>
      <c r="L85" s="97"/>
      <c r="M85" s="97"/>
      <c r="N85" s="97" t="str">
        <f>IF(C85="","",VLOOKUP(C85,'SCORE(1)'!$A$201:$J$417,8,FALSE))</f>
        <v/>
      </c>
      <c r="O85" s="97"/>
      <c r="P85" s="97"/>
      <c r="Q85" s="97"/>
      <c r="R85" s="97" t="str">
        <f>IF(C85="","",'SCORE(1)'!H71)</f>
        <v/>
      </c>
      <c r="S85" s="97"/>
      <c r="T85" s="97"/>
      <c r="U85" s="97"/>
      <c r="V85" s="97" t="str">
        <f>IF(C85="","",VLOOKUP(C85,'SCORE(1)'!$A$201:$J$417,10,FALSE))</f>
        <v/>
      </c>
      <c r="W85" s="97"/>
      <c r="X85" s="97"/>
      <c r="Y85" s="97"/>
      <c r="Z85" s="97"/>
      <c r="AA85" s="97" t="str">
        <f>IF(C85="","",VLOOKUP(C85,'SCORE(1)'!$A$201:$J$417,7,FALSE))</f>
        <v/>
      </c>
      <c r="AB85" s="97"/>
      <c r="AC85" s="97"/>
      <c r="AD85" s="69"/>
      <c r="AE85" s="69"/>
      <c r="AF85" s="69"/>
      <c r="AG85" s="69"/>
      <c r="AH85" s="69"/>
      <c r="AI85" s="69"/>
      <c r="AJ85" s="69"/>
    </row>
    <row r="86" spans="1:36" x14ac:dyDescent="0.25">
      <c r="A86" s="114">
        <v>62</v>
      </c>
      <c r="B86" s="115"/>
      <c r="C86" s="112"/>
      <c r="D86" s="113"/>
      <c r="E86" s="113"/>
      <c r="F86" s="97" t="str">
        <f>IF(C86="","",VLOOKUP(C86,'SCORE(1)'!$A$201:$N$420,2,FALSE))</f>
        <v/>
      </c>
      <c r="G86" s="97"/>
      <c r="H86" s="97"/>
      <c r="I86" s="97"/>
      <c r="J86" s="97"/>
      <c r="K86" s="97"/>
      <c r="L86" s="97"/>
      <c r="M86" s="97"/>
      <c r="N86" s="97" t="str">
        <f>IF(C86="","",VLOOKUP(C86,'SCORE(1)'!$A$201:$J$417,8,FALSE))</f>
        <v/>
      </c>
      <c r="O86" s="97"/>
      <c r="P86" s="97"/>
      <c r="Q86" s="97"/>
      <c r="R86" s="97" t="str">
        <f>IF(C86="","",'SCORE(1)'!H72)</f>
        <v/>
      </c>
      <c r="S86" s="97"/>
      <c r="T86" s="97"/>
      <c r="U86" s="97"/>
      <c r="V86" s="97" t="str">
        <f>IF(C86="","",VLOOKUP(C86,'SCORE(1)'!$A$201:$J$417,10,FALSE))</f>
        <v/>
      </c>
      <c r="W86" s="97"/>
      <c r="X86" s="97"/>
      <c r="Y86" s="97"/>
      <c r="Z86" s="97"/>
      <c r="AA86" s="97" t="str">
        <f>IF(C86="","",VLOOKUP(C86,'SCORE(1)'!$A$201:$J$417,7,FALSE))</f>
        <v/>
      </c>
      <c r="AB86" s="97"/>
      <c r="AC86" s="97"/>
      <c r="AD86" s="69"/>
      <c r="AE86" s="69"/>
      <c r="AF86" s="69"/>
      <c r="AG86" s="69"/>
      <c r="AH86" s="69"/>
      <c r="AI86" s="69"/>
      <c r="AJ86" s="69"/>
    </row>
    <row r="87" spans="1:36" x14ac:dyDescent="0.25">
      <c r="A87" s="114">
        <v>63</v>
      </c>
      <c r="B87" s="115"/>
      <c r="C87" s="112"/>
      <c r="D87" s="113"/>
      <c r="E87" s="113"/>
      <c r="F87" s="97" t="str">
        <f>IF(C87="","",VLOOKUP(C87,'SCORE(1)'!$A$201:$N$420,2,FALSE))</f>
        <v/>
      </c>
      <c r="G87" s="97"/>
      <c r="H87" s="97"/>
      <c r="I87" s="97"/>
      <c r="J87" s="97"/>
      <c r="K87" s="97"/>
      <c r="L87" s="97"/>
      <c r="M87" s="97"/>
      <c r="N87" s="97" t="str">
        <f>IF(C87="","",VLOOKUP(C87,'SCORE(1)'!$A$201:$J$417,8,FALSE))</f>
        <v/>
      </c>
      <c r="O87" s="97"/>
      <c r="P87" s="97"/>
      <c r="Q87" s="97"/>
      <c r="R87" s="97" t="str">
        <f>IF(C87="","",'SCORE(1)'!H73)</f>
        <v/>
      </c>
      <c r="S87" s="97"/>
      <c r="T87" s="97"/>
      <c r="U87" s="97"/>
      <c r="V87" s="97" t="str">
        <f>IF(C87="","",VLOOKUP(C87,'SCORE(1)'!$A$201:$J$417,10,FALSE))</f>
        <v/>
      </c>
      <c r="W87" s="97"/>
      <c r="X87" s="97"/>
      <c r="Y87" s="97"/>
      <c r="Z87" s="97"/>
      <c r="AA87" s="97" t="str">
        <f>IF(C87="","",VLOOKUP(C87,'SCORE(1)'!$A$201:$J$417,7,FALSE))</f>
        <v/>
      </c>
      <c r="AB87" s="97"/>
      <c r="AC87" s="97"/>
      <c r="AD87" s="69"/>
      <c r="AE87" s="69"/>
      <c r="AF87" s="69"/>
      <c r="AG87" s="69"/>
      <c r="AH87" s="69"/>
      <c r="AI87" s="69"/>
      <c r="AJ87" s="69"/>
    </row>
    <row r="88" spans="1:36" x14ac:dyDescent="0.25">
      <c r="A88" s="114">
        <v>64</v>
      </c>
      <c r="B88" s="115"/>
      <c r="C88" s="112"/>
      <c r="D88" s="113"/>
      <c r="E88" s="113"/>
      <c r="F88" s="97" t="str">
        <f>IF(C88="","",VLOOKUP(C88,'SCORE(1)'!$A$201:$N$420,2,FALSE))</f>
        <v/>
      </c>
      <c r="G88" s="97"/>
      <c r="H88" s="97"/>
      <c r="I88" s="97"/>
      <c r="J88" s="97"/>
      <c r="K88" s="97"/>
      <c r="L88" s="97"/>
      <c r="M88" s="97"/>
      <c r="N88" s="97" t="str">
        <f>IF(C88="","",VLOOKUP(C88,'SCORE(1)'!$A$201:$J$417,8,FALSE))</f>
        <v/>
      </c>
      <c r="O88" s="97"/>
      <c r="P88" s="97"/>
      <c r="Q88" s="97"/>
      <c r="R88" s="97" t="str">
        <f>IF(C88="","",'SCORE(1)'!H74)</f>
        <v/>
      </c>
      <c r="S88" s="97"/>
      <c r="T88" s="97"/>
      <c r="U88" s="97"/>
      <c r="V88" s="97" t="str">
        <f>IF(C88="","",VLOOKUP(C88,'SCORE(1)'!$A$201:$J$417,10,FALSE))</f>
        <v/>
      </c>
      <c r="W88" s="97"/>
      <c r="X88" s="97"/>
      <c r="Y88" s="97"/>
      <c r="Z88" s="97"/>
      <c r="AA88" s="97" t="str">
        <f>IF(C88="","",VLOOKUP(C88,'SCORE(1)'!$A$201:$J$417,7,FALSE))</f>
        <v/>
      </c>
      <c r="AB88" s="97"/>
      <c r="AC88" s="97"/>
      <c r="AD88" s="69"/>
      <c r="AE88" s="69"/>
      <c r="AF88" s="69"/>
      <c r="AG88" s="69"/>
      <c r="AH88" s="69"/>
      <c r="AI88" s="69"/>
      <c r="AJ88" s="69"/>
    </row>
    <row r="89" spans="1:36" x14ac:dyDescent="0.25">
      <c r="A89" s="114">
        <v>65</v>
      </c>
      <c r="B89" s="115"/>
      <c r="C89" s="112"/>
      <c r="D89" s="113"/>
      <c r="E89" s="113"/>
      <c r="F89" s="97" t="str">
        <f>IF(C89="","",VLOOKUP(C89,'SCORE(1)'!$A$201:$N$420,2,FALSE))</f>
        <v/>
      </c>
      <c r="G89" s="97"/>
      <c r="H89" s="97"/>
      <c r="I89" s="97"/>
      <c r="J89" s="97"/>
      <c r="K89" s="97"/>
      <c r="L89" s="97"/>
      <c r="M89" s="97"/>
      <c r="N89" s="97" t="str">
        <f>IF(C89="","",VLOOKUP(C89,'SCORE(1)'!$A$201:$J$417,8,FALSE))</f>
        <v/>
      </c>
      <c r="O89" s="97"/>
      <c r="P89" s="97"/>
      <c r="Q89" s="97"/>
      <c r="R89" s="97" t="str">
        <f>IF(C89="","",'SCORE(1)'!H75)</f>
        <v/>
      </c>
      <c r="S89" s="97"/>
      <c r="T89" s="97"/>
      <c r="U89" s="97"/>
      <c r="V89" s="97" t="str">
        <f>IF(C89="","",VLOOKUP(C89,'SCORE(1)'!$A$201:$J$417,10,FALSE))</f>
        <v/>
      </c>
      <c r="W89" s="97"/>
      <c r="X89" s="97"/>
      <c r="Y89" s="97"/>
      <c r="Z89" s="97"/>
      <c r="AA89" s="97" t="str">
        <f>IF(C89="","",VLOOKUP(C89,'SCORE(1)'!$A$201:$J$417,7,FALSE))</f>
        <v/>
      </c>
      <c r="AB89" s="97"/>
      <c r="AC89" s="97"/>
      <c r="AD89" s="69"/>
      <c r="AE89" s="69"/>
      <c r="AF89" s="69"/>
      <c r="AG89" s="69"/>
      <c r="AH89" s="69"/>
      <c r="AI89" s="69"/>
      <c r="AJ89" s="69"/>
    </row>
    <row r="90" spans="1:36" x14ac:dyDescent="0.25">
      <c r="A90" s="114">
        <v>66</v>
      </c>
      <c r="B90" s="115"/>
      <c r="C90" s="112"/>
      <c r="D90" s="113"/>
      <c r="E90" s="113"/>
      <c r="F90" s="97" t="str">
        <f>IF(C90="","",VLOOKUP(C90,'SCORE(1)'!$A$201:$N$420,2,FALSE))</f>
        <v/>
      </c>
      <c r="G90" s="97"/>
      <c r="H90" s="97"/>
      <c r="I90" s="97"/>
      <c r="J90" s="97"/>
      <c r="K90" s="97"/>
      <c r="L90" s="97"/>
      <c r="M90" s="97"/>
      <c r="N90" s="97" t="str">
        <f>IF(C90="","",VLOOKUP(C90,'SCORE(1)'!$A$201:$J$417,8,FALSE))</f>
        <v/>
      </c>
      <c r="O90" s="97"/>
      <c r="P90" s="97"/>
      <c r="Q90" s="97"/>
      <c r="R90" s="97" t="str">
        <f>IF(C90="","",'SCORE(1)'!H76)</f>
        <v/>
      </c>
      <c r="S90" s="97"/>
      <c r="T90" s="97"/>
      <c r="U90" s="97"/>
      <c r="V90" s="97" t="str">
        <f>IF(C90="","",VLOOKUP(C90,'SCORE(1)'!$A$201:$J$417,10,FALSE))</f>
        <v/>
      </c>
      <c r="W90" s="97"/>
      <c r="X90" s="97"/>
      <c r="Y90" s="97"/>
      <c r="Z90" s="97"/>
      <c r="AA90" s="97" t="str">
        <f>IF(C90="","",VLOOKUP(C90,'SCORE(1)'!$A$201:$J$417,7,FALSE))</f>
        <v/>
      </c>
      <c r="AB90" s="97"/>
      <c r="AC90" s="97"/>
      <c r="AD90" s="69"/>
      <c r="AE90" s="69"/>
      <c r="AF90" s="69"/>
      <c r="AG90" s="69"/>
      <c r="AH90" s="69"/>
      <c r="AI90" s="69"/>
      <c r="AJ90" s="69"/>
    </row>
    <row r="91" spans="1:36" x14ac:dyDescent="0.25">
      <c r="A91" s="114">
        <v>67</v>
      </c>
      <c r="B91" s="115"/>
      <c r="C91" s="112"/>
      <c r="D91" s="113"/>
      <c r="E91" s="113"/>
      <c r="F91" s="97" t="str">
        <f>IF(C91="","",VLOOKUP(C91,'SCORE(1)'!$A$201:$N$420,2,FALSE))</f>
        <v/>
      </c>
      <c r="G91" s="97"/>
      <c r="H91" s="97"/>
      <c r="I91" s="97"/>
      <c r="J91" s="97"/>
      <c r="K91" s="97"/>
      <c r="L91" s="97"/>
      <c r="M91" s="97"/>
      <c r="N91" s="97" t="str">
        <f>IF(C91="","",VLOOKUP(C91,'SCORE(1)'!$A$201:$J$417,8,FALSE))</f>
        <v/>
      </c>
      <c r="O91" s="97"/>
      <c r="P91" s="97"/>
      <c r="Q91" s="97"/>
      <c r="R91" s="97" t="str">
        <f>IF(C91="","",'SCORE(1)'!H77)</f>
        <v/>
      </c>
      <c r="S91" s="97"/>
      <c r="T91" s="97"/>
      <c r="U91" s="97"/>
      <c r="V91" s="97" t="str">
        <f>IF(C91="","",VLOOKUP(C91,'SCORE(1)'!$A$201:$J$417,10,FALSE))</f>
        <v/>
      </c>
      <c r="W91" s="97"/>
      <c r="X91" s="97"/>
      <c r="Y91" s="97"/>
      <c r="Z91" s="97"/>
      <c r="AA91" s="97" t="str">
        <f>IF(C91="","",VLOOKUP(C91,'SCORE(1)'!$A$201:$J$417,7,FALSE))</f>
        <v/>
      </c>
      <c r="AB91" s="97"/>
      <c r="AC91" s="97"/>
      <c r="AD91" s="69"/>
      <c r="AE91" s="69"/>
      <c r="AF91" s="69"/>
      <c r="AG91" s="69"/>
      <c r="AH91" s="69"/>
      <c r="AI91" s="69"/>
      <c r="AJ91" s="69"/>
    </row>
    <row r="92" spans="1:36" x14ac:dyDescent="0.25">
      <c r="A92" s="114">
        <v>68</v>
      </c>
      <c r="B92" s="115"/>
      <c r="C92" s="112"/>
      <c r="D92" s="113"/>
      <c r="E92" s="113"/>
      <c r="F92" s="97" t="str">
        <f>IF(C92="","",VLOOKUP(C92,'SCORE(1)'!$A$201:$N$420,2,FALSE))</f>
        <v/>
      </c>
      <c r="G92" s="97"/>
      <c r="H92" s="97"/>
      <c r="I92" s="97"/>
      <c r="J92" s="97"/>
      <c r="K92" s="97"/>
      <c r="L92" s="97"/>
      <c r="M92" s="97"/>
      <c r="N92" s="97" t="str">
        <f>IF(C92="","",VLOOKUP(C92,'SCORE(1)'!$A$201:$J$417,8,FALSE))</f>
        <v/>
      </c>
      <c r="O92" s="97"/>
      <c r="P92" s="97"/>
      <c r="Q92" s="97"/>
      <c r="R92" s="97" t="str">
        <f>IF(C92="","",'SCORE(1)'!H78)</f>
        <v/>
      </c>
      <c r="S92" s="97"/>
      <c r="T92" s="97"/>
      <c r="U92" s="97"/>
      <c r="V92" s="97" t="str">
        <f>IF(C92="","",VLOOKUP(C92,'SCORE(1)'!$A$201:$J$417,10,FALSE))</f>
        <v/>
      </c>
      <c r="W92" s="97"/>
      <c r="X92" s="97"/>
      <c r="Y92" s="97"/>
      <c r="Z92" s="97"/>
      <c r="AA92" s="97" t="str">
        <f>IF(C92="","",VLOOKUP(C92,'SCORE(1)'!$A$201:$J$417,7,FALSE))</f>
        <v/>
      </c>
      <c r="AB92" s="97"/>
      <c r="AC92" s="97"/>
      <c r="AD92" s="69"/>
      <c r="AE92" s="69"/>
      <c r="AF92" s="69"/>
      <c r="AG92" s="69"/>
      <c r="AH92" s="69"/>
      <c r="AI92" s="69"/>
      <c r="AJ92" s="69"/>
    </row>
    <row r="93" spans="1:36" x14ac:dyDescent="0.25">
      <c r="A93" s="114">
        <v>69</v>
      </c>
      <c r="B93" s="115"/>
      <c r="C93" s="112"/>
      <c r="D93" s="113"/>
      <c r="E93" s="113"/>
      <c r="F93" s="97" t="str">
        <f>IF(C93="","",VLOOKUP(C93,'SCORE(1)'!$A$201:$N$420,2,FALSE))</f>
        <v/>
      </c>
      <c r="G93" s="97"/>
      <c r="H93" s="97"/>
      <c r="I93" s="97"/>
      <c r="J93" s="97"/>
      <c r="K93" s="97"/>
      <c r="L93" s="97"/>
      <c r="M93" s="97"/>
      <c r="N93" s="97" t="str">
        <f>IF(C93="","",VLOOKUP(C93,'SCORE(1)'!$A$201:$J$417,8,FALSE))</f>
        <v/>
      </c>
      <c r="O93" s="97"/>
      <c r="P93" s="97"/>
      <c r="Q93" s="97"/>
      <c r="R93" s="97" t="str">
        <f>IF(C93="","",'SCORE(1)'!H79)</f>
        <v/>
      </c>
      <c r="S93" s="97"/>
      <c r="T93" s="97"/>
      <c r="U93" s="97"/>
      <c r="V93" s="97" t="str">
        <f>IF(C93="","",VLOOKUP(C93,'SCORE(1)'!$A$201:$J$417,10,FALSE))</f>
        <v/>
      </c>
      <c r="W93" s="97"/>
      <c r="X93" s="97"/>
      <c r="Y93" s="97"/>
      <c r="Z93" s="97"/>
      <c r="AA93" s="97" t="str">
        <f>IF(C93="","",VLOOKUP(C93,'SCORE(1)'!$A$201:$J$417,7,FALSE))</f>
        <v/>
      </c>
      <c r="AB93" s="97"/>
      <c r="AC93" s="97"/>
      <c r="AD93" s="69"/>
      <c r="AE93" s="69"/>
      <c r="AF93" s="69"/>
      <c r="AG93" s="69"/>
      <c r="AH93" s="69"/>
      <c r="AI93" s="69"/>
      <c r="AJ93" s="69"/>
    </row>
    <row r="94" spans="1:36" x14ac:dyDescent="0.25">
      <c r="A94" s="114">
        <v>70</v>
      </c>
      <c r="B94" s="115"/>
      <c r="C94" s="112"/>
      <c r="D94" s="113"/>
      <c r="E94" s="113"/>
      <c r="F94" s="97" t="str">
        <f>IF(C94="","",VLOOKUP(C94,'SCORE(1)'!$A$201:$N$420,2,FALSE))</f>
        <v/>
      </c>
      <c r="G94" s="97"/>
      <c r="H94" s="97"/>
      <c r="I94" s="97"/>
      <c r="J94" s="97"/>
      <c r="K94" s="97"/>
      <c r="L94" s="97"/>
      <c r="M94" s="97"/>
      <c r="N94" s="97" t="str">
        <f>IF(C94="","",VLOOKUP(C94,'SCORE(1)'!$A$201:$J$417,8,FALSE))</f>
        <v/>
      </c>
      <c r="O94" s="97"/>
      <c r="P94" s="97"/>
      <c r="Q94" s="97"/>
      <c r="R94" s="97" t="str">
        <f>IF(C94="","",'SCORE(1)'!H80)</f>
        <v/>
      </c>
      <c r="S94" s="97"/>
      <c r="T94" s="97"/>
      <c r="U94" s="97"/>
      <c r="V94" s="97" t="str">
        <f>IF(C94="","",VLOOKUP(C94,'SCORE(1)'!$A$201:$J$417,10,FALSE))</f>
        <v/>
      </c>
      <c r="W94" s="97"/>
      <c r="X94" s="97"/>
      <c r="Y94" s="97"/>
      <c r="Z94" s="97"/>
      <c r="AA94" s="97" t="str">
        <f>IF(C94="","",VLOOKUP(C94,'SCORE(1)'!$A$201:$J$417,7,FALSE))</f>
        <v/>
      </c>
      <c r="AB94" s="97"/>
      <c r="AC94" s="97"/>
      <c r="AD94" s="69"/>
      <c r="AE94" s="69"/>
      <c r="AF94" s="69"/>
      <c r="AG94" s="69"/>
      <c r="AH94" s="69"/>
      <c r="AI94" s="69"/>
      <c r="AJ94" s="69"/>
    </row>
    <row r="95" spans="1:36" x14ac:dyDescent="0.25">
      <c r="A95" s="114">
        <v>71</v>
      </c>
      <c r="B95" s="115"/>
      <c r="C95" s="112"/>
      <c r="D95" s="113"/>
      <c r="E95" s="113"/>
      <c r="F95" s="97" t="str">
        <f>IF(C95="","",VLOOKUP(C95,'SCORE(1)'!$A$201:$N$420,2,FALSE))</f>
        <v/>
      </c>
      <c r="G95" s="97"/>
      <c r="H95" s="97"/>
      <c r="I95" s="97"/>
      <c r="J95" s="97"/>
      <c r="K95" s="97"/>
      <c r="L95" s="97"/>
      <c r="M95" s="97"/>
      <c r="N95" s="97" t="str">
        <f>IF(C95="","",VLOOKUP(C95,'SCORE(1)'!$A$201:$J$417,8,FALSE))</f>
        <v/>
      </c>
      <c r="O95" s="97"/>
      <c r="P95" s="97"/>
      <c r="Q95" s="97"/>
      <c r="R95" s="97" t="str">
        <f>IF(C95="","",'SCORE(1)'!H81)</f>
        <v/>
      </c>
      <c r="S95" s="97"/>
      <c r="T95" s="97"/>
      <c r="U95" s="97"/>
      <c r="V95" s="97" t="str">
        <f>IF(C95="","",VLOOKUP(C95,'SCORE(1)'!$A$201:$J$417,10,FALSE))</f>
        <v/>
      </c>
      <c r="W95" s="97"/>
      <c r="X95" s="97"/>
      <c r="Y95" s="97"/>
      <c r="Z95" s="97"/>
      <c r="AA95" s="97" t="str">
        <f>IF(C95="","",VLOOKUP(C95,'SCORE(1)'!$A$201:$J$417,7,FALSE))</f>
        <v/>
      </c>
      <c r="AB95" s="97"/>
      <c r="AC95" s="97"/>
      <c r="AD95" s="69"/>
      <c r="AE95" s="69"/>
      <c r="AF95" s="69"/>
      <c r="AG95" s="69"/>
      <c r="AH95" s="69"/>
      <c r="AI95" s="69"/>
      <c r="AJ95" s="69"/>
    </row>
    <row r="96" spans="1:36" x14ac:dyDescent="0.25">
      <c r="A96" s="114">
        <v>72</v>
      </c>
      <c r="B96" s="115"/>
      <c r="C96" s="112"/>
      <c r="D96" s="113"/>
      <c r="E96" s="113"/>
      <c r="F96" s="97" t="str">
        <f>IF(C96="","",VLOOKUP(C96,'SCORE(1)'!$A$201:$N$420,2,FALSE))</f>
        <v/>
      </c>
      <c r="G96" s="97"/>
      <c r="H96" s="97"/>
      <c r="I96" s="97"/>
      <c r="J96" s="97"/>
      <c r="K96" s="97"/>
      <c r="L96" s="97"/>
      <c r="M96" s="97"/>
      <c r="N96" s="97" t="str">
        <f>IF(C96="","",VLOOKUP(C96,'SCORE(1)'!$A$201:$J$417,8,FALSE))</f>
        <v/>
      </c>
      <c r="O96" s="97"/>
      <c r="P96" s="97"/>
      <c r="Q96" s="97"/>
      <c r="R96" s="97" t="str">
        <f>IF(C96="","",'SCORE(1)'!H82)</f>
        <v/>
      </c>
      <c r="S96" s="97"/>
      <c r="T96" s="97"/>
      <c r="U96" s="97"/>
      <c r="V96" s="97" t="str">
        <f>IF(C96="","",VLOOKUP(C96,'SCORE(1)'!$A$201:$J$417,10,FALSE))</f>
        <v/>
      </c>
      <c r="W96" s="97"/>
      <c r="X96" s="97"/>
      <c r="Y96" s="97"/>
      <c r="Z96" s="97"/>
      <c r="AA96" s="97" t="str">
        <f>IF(C96="","",VLOOKUP(C96,'SCORE(1)'!$A$201:$J$417,7,FALSE))</f>
        <v/>
      </c>
      <c r="AB96" s="97"/>
      <c r="AC96" s="97"/>
      <c r="AD96" s="69"/>
      <c r="AE96" s="69"/>
      <c r="AF96" s="69"/>
      <c r="AG96" s="69"/>
      <c r="AH96" s="69"/>
      <c r="AI96" s="69"/>
      <c r="AJ96" s="69"/>
    </row>
    <row r="97" spans="1:36" x14ac:dyDescent="0.25">
      <c r="A97" s="114">
        <v>73</v>
      </c>
      <c r="B97" s="115"/>
      <c r="C97" s="112"/>
      <c r="D97" s="113"/>
      <c r="E97" s="113"/>
      <c r="F97" s="97" t="str">
        <f>IF(C97="","",VLOOKUP(C97,'SCORE(1)'!$A$201:$N$420,2,FALSE))</f>
        <v/>
      </c>
      <c r="G97" s="97"/>
      <c r="H97" s="97"/>
      <c r="I97" s="97"/>
      <c r="J97" s="97"/>
      <c r="K97" s="97"/>
      <c r="L97" s="97"/>
      <c r="M97" s="97"/>
      <c r="N97" s="97" t="str">
        <f>IF(C97="","",VLOOKUP(C97,'SCORE(1)'!$A$201:$J$417,8,FALSE))</f>
        <v/>
      </c>
      <c r="O97" s="97"/>
      <c r="P97" s="97"/>
      <c r="Q97" s="97"/>
      <c r="R97" s="97" t="str">
        <f>IF(C97="","",'SCORE(1)'!H83)</f>
        <v/>
      </c>
      <c r="S97" s="97"/>
      <c r="T97" s="97"/>
      <c r="U97" s="97"/>
      <c r="V97" s="97" t="str">
        <f>IF(C97="","",VLOOKUP(C97,'SCORE(1)'!$A$201:$J$417,10,FALSE))</f>
        <v/>
      </c>
      <c r="W97" s="97"/>
      <c r="X97" s="97"/>
      <c r="Y97" s="97"/>
      <c r="Z97" s="97"/>
      <c r="AA97" s="97" t="str">
        <f>IF(C97="","",VLOOKUP(C97,'SCORE(1)'!$A$201:$J$417,7,FALSE))</f>
        <v/>
      </c>
      <c r="AB97" s="97"/>
      <c r="AC97" s="97"/>
      <c r="AD97" s="69"/>
      <c r="AE97" s="69"/>
      <c r="AF97" s="69"/>
      <c r="AG97" s="69"/>
      <c r="AH97" s="69"/>
      <c r="AI97" s="69"/>
      <c r="AJ97" s="69"/>
    </row>
    <row r="98" spans="1:36" x14ac:dyDescent="0.25">
      <c r="A98" s="114">
        <v>74</v>
      </c>
      <c r="B98" s="115"/>
      <c r="C98" s="112"/>
      <c r="D98" s="113"/>
      <c r="E98" s="113"/>
      <c r="F98" s="97" t="str">
        <f>IF(C98="","",VLOOKUP(C98,'SCORE(1)'!$A$201:$N$420,2,FALSE))</f>
        <v/>
      </c>
      <c r="G98" s="97"/>
      <c r="H98" s="97"/>
      <c r="I98" s="97"/>
      <c r="J98" s="97"/>
      <c r="K98" s="97"/>
      <c r="L98" s="97"/>
      <c r="M98" s="97"/>
      <c r="N98" s="97" t="str">
        <f>IF(C98="","",VLOOKUP(C98,'SCORE(1)'!$A$201:$J$417,8,FALSE))</f>
        <v/>
      </c>
      <c r="O98" s="97"/>
      <c r="P98" s="97"/>
      <c r="Q98" s="97"/>
      <c r="R98" s="97" t="str">
        <f>IF(C98="","",'SCORE(1)'!H84)</f>
        <v/>
      </c>
      <c r="S98" s="97"/>
      <c r="T98" s="97"/>
      <c r="U98" s="97"/>
      <c r="V98" s="97" t="str">
        <f>IF(C98="","",VLOOKUP(C98,'SCORE(1)'!$A$201:$J$417,10,FALSE))</f>
        <v/>
      </c>
      <c r="W98" s="97"/>
      <c r="X98" s="97"/>
      <c r="Y98" s="97"/>
      <c r="Z98" s="97"/>
      <c r="AA98" s="97" t="str">
        <f>IF(C98="","",VLOOKUP(C98,'SCORE(1)'!$A$201:$J$417,7,FALSE))</f>
        <v/>
      </c>
      <c r="AB98" s="97"/>
      <c r="AC98" s="97"/>
      <c r="AD98" s="69"/>
      <c r="AE98" s="69"/>
      <c r="AF98" s="69"/>
      <c r="AG98" s="69"/>
      <c r="AH98" s="69"/>
      <c r="AI98" s="69"/>
      <c r="AJ98" s="69"/>
    </row>
    <row r="99" spans="1:36" x14ac:dyDescent="0.25">
      <c r="A99" s="114">
        <v>75</v>
      </c>
      <c r="B99" s="115"/>
      <c r="C99" s="112"/>
      <c r="D99" s="113"/>
      <c r="E99" s="113"/>
      <c r="F99" s="97" t="str">
        <f>IF(C99="","",VLOOKUP(C99,'SCORE(1)'!$A$201:$N$420,2,FALSE))</f>
        <v/>
      </c>
      <c r="G99" s="97"/>
      <c r="H99" s="97"/>
      <c r="I99" s="97"/>
      <c r="J99" s="97"/>
      <c r="K99" s="97"/>
      <c r="L99" s="97"/>
      <c r="M99" s="97"/>
      <c r="N99" s="97" t="str">
        <f>IF(C99="","",VLOOKUP(C99,'SCORE(1)'!$A$201:$J$417,8,FALSE))</f>
        <v/>
      </c>
      <c r="O99" s="97"/>
      <c r="P99" s="97"/>
      <c r="Q99" s="97"/>
      <c r="R99" s="97" t="str">
        <f>IF(C99="","",'SCORE(1)'!H85)</f>
        <v/>
      </c>
      <c r="S99" s="97"/>
      <c r="T99" s="97"/>
      <c r="U99" s="97"/>
      <c r="V99" s="97" t="str">
        <f>IF(C99="","",VLOOKUP(C99,'SCORE(1)'!$A$201:$J$417,10,FALSE))</f>
        <v/>
      </c>
      <c r="W99" s="97"/>
      <c r="X99" s="97"/>
      <c r="Y99" s="97"/>
      <c r="Z99" s="97"/>
      <c r="AA99" s="97" t="str">
        <f>IF(C99="","",VLOOKUP(C99,'SCORE(1)'!$A$201:$J$417,7,FALSE))</f>
        <v/>
      </c>
      <c r="AB99" s="97"/>
      <c r="AC99" s="97"/>
      <c r="AD99" s="69"/>
      <c r="AE99" s="69"/>
      <c r="AF99" s="69"/>
      <c r="AG99" s="69"/>
      <c r="AH99" s="69"/>
      <c r="AI99" s="69"/>
      <c r="AJ99" s="69"/>
    </row>
    <row r="100" spans="1:36" x14ac:dyDescent="0.25">
      <c r="A100" s="114">
        <v>76</v>
      </c>
      <c r="B100" s="115"/>
      <c r="C100" s="112"/>
      <c r="D100" s="113"/>
      <c r="E100" s="113"/>
      <c r="F100" s="97" t="str">
        <f>IF(C100="","",VLOOKUP(C100,'SCORE(1)'!$A$201:$N$420,2,FALSE))</f>
        <v/>
      </c>
      <c r="G100" s="97"/>
      <c r="H100" s="97"/>
      <c r="I100" s="97"/>
      <c r="J100" s="97"/>
      <c r="K100" s="97"/>
      <c r="L100" s="97"/>
      <c r="M100" s="97"/>
      <c r="N100" s="97" t="str">
        <f>IF(C100="","",VLOOKUP(C100,'SCORE(1)'!$A$201:$J$417,8,FALSE))</f>
        <v/>
      </c>
      <c r="O100" s="97"/>
      <c r="P100" s="97"/>
      <c r="Q100" s="97"/>
      <c r="R100" s="97" t="str">
        <f>IF(C100="","",'SCORE(1)'!H86)</f>
        <v/>
      </c>
      <c r="S100" s="97"/>
      <c r="T100" s="97"/>
      <c r="U100" s="97"/>
      <c r="V100" s="97" t="str">
        <f>IF(C100="","",VLOOKUP(C100,'SCORE(1)'!$A$201:$J$417,10,FALSE))</f>
        <v/>
      </c>
      <c r="W100" s="97"/>
      <c r="X100" s="97"/>
      <c r="Y100" s="97"/>
      <c r="Z100" s="97"/>
      <c r="AA100" s="97" t="str">
        <f>IF(C100="","",VLOOKUP(C100,'SCORE(1)'!$A$201:$J$417,7,FALSE))</f>
        <v/>
      </c>
      <c r="AB100" s="97"/>
      <c r="AC100" s="97"/>
      <c r="AD100" s="69"/>
      <c r="AE100" s="69"/>
      <c r="AF100" s="69"/>
      <c r="AG100" s="69"/>
      <c r="AH100" s="69"/>
      <c r="AI100" s="69"/>
      <c r="AJ100" s="69"/>
    </row>
    <row r="101" spans="1:36" x14ac:dyDescent="0.25">
      <c r="A101" s="114">
        <v>77</v>
      </c>
      <c r="B101" s="115"/>
      <c r="C101" s="112"/>
      <c r="D101" s="113"/>
      <c r="E101" s="113"/>
      <c r="F101" s="97" t="str">
        <f>IF(C101="","",VLOOKUP(C101,'SCORE(1)'!$A$201:$N$420,2,FALSE))</f>
        <v/>
      </c>
      <c r="G101" s="97"/>
      <c r="H101" s="97"/>
      <c r="I101" s="97"/>
      <c r="J101" s="97"/>
      <c r="K101" s="97"/>
      <c r="L101" s="97"/>
      <c r="M101" s="97"/>
      <c r="N101" s="97" t="str">
        <f>IF(C101="","",VLOOKUP(C101,'SCORE(1)'!$A$201:$J$417,8,FALSE))</f>
        <v/>
      </c>
      <c r="O101" s="97"/>
      <c r="P101" s="97"/>
      <c r="Q101" s="97"/>
      <c r="R101" s="97" t="str">
        <f>IF(C101="","",'SCORE(1)'!H87)</f>
        <v/>
      </c>
      <c r="S101" s="97"/>
      <c r="T101" s="97"/>
      <c r="U101" s="97"/>
      <c r="V101" s="97" t="str">
        <f>IF(C101="","",VLOOKUP(C101,'SCORE(1)'!$A$201:$J$417,10,FALSE))</f>
        <v/>
      </c>
      <c r="W101" s="97"/>
      <c r="X101" s="97"/>
      <c r="Y101" s="97"/>
      <c r="Z101" s="97"/>
      <c r="AA101" s="97" t="str">
        <f>IF(C101="","",VLOOKUP(C101,'SCORE(1)'!$A$201:$J$417,7,FALSE))</f>
        <v/>
      </c>
      <c r="AB101" s="97"/>
      <c r="AC101" s="97"/>
      <c r="AD101" s="69"/>
      <c r="AE101" s="69"/>
      <c r="AF101" s="69"/>
      <c r="AG101" s="69"/>
      <c r="AH101" s="69"/>
      <c r="AI101" s="69"/>
      <c r="AJ101" s="69"/>
    </row>
    <row r="102" spans="1:36" x14ac:dyDescent="0.25">
      <c r="A102" s="114">
        <v>78</v>
      </c>
      <c r="B102" s="115"/>
      <c r="C102" s="112"/>
      <c r="D102" s="113"/>
      <c r="E102" s="113"/>
      <c r="F102" s="97" t="str">
        <f>IF(C102="","",VLOOKUP(C102,'SCORE(1)'!$A$201:$N$420,2,FALSE))</f>
        <v/>
      </c>
      <c r="G102" s="97"/>
      <c r="H102" s="97"/>
      <c r="I102" s="97"/>
      <c r="J102" s="97"/>
      <c r="K102" s="97"/>
      <c r="L102" s="97"/>
      <c r="M102" s="97"/>
      <c r="N102" s="97" t="str">
        <f>IF(C102="","",VLOOKUP(C102,'SCORE(1)'!$A$201:$J$417,8,FALSE))</f>
        <v/>
      </c>
      <c r="O102" s="97"/>
      <c r="P102" s="97"/>
      <c r="Q102" s="97"/>
      <c r="R102" s="97" t="str">
        <f>IF(C102="","",'SCORE(1)'!H88)</f>
        <v/>
      </c>
      <c r="S102" s="97"/>
      <c r="T102" s="97"/>
      <c r="U102" s="97"/>
      <c r="V102" s="97" t="str">
        <f>IF(C102="","",VLOOKUP(C102,'SCORE(1)'!$A$201:$J$417,10,FALSE))</f>
        <v/>
      </c>
      <c r="W102" s="97"/>
      <c r="X102" s="97"/>
      <c r="Y102" s="97"/>
      <c r="Z102" s="97"/>
      <c r="AA102" s="97" t="str">
        <f>IF(C102="","",VLOOKUP(C102,'SCORE(1)'!$A$201:$J$417,7,FALSE))</f>
        <v/>
      </c>
      <c r="AB102" s="97"/>
      <c r="AC102" s="97"/>
      <c r="AD102" s="69"/>
      <c r="AE102" s="69"/>
      <c r="AF102" s="69"/>
      <c r="AG102" s="69"/>
      <c r="AH102" s="69"/>
      <c r="AI102" s="69"/>
      <c r="AJ102" s="69"/>
    </row>
    <row r="103" spans="1:36" x14ac:dyDescent="0.25">
      <c r="A103" s="114">
        <v>79</v>
      </c>
      <c r="B103" s="115"/>
      <c r="C103" s="112"/>
      <c r="D103" s="113"/>
      <c r="E103" s="113"/>
      <c r="F103" s="97" t="str">
        <f>IF(C103="","",VLOOKUP(C103,'SCORE(1)'!$A$201:$N$420,2,FALSE))</f>
        <v/>
      </c>
      <c r="G103" s="97"/>
      <c r="H103" s="97"/>
      <c r="I103" s="97"/>
      <c r="J103" s="97"/>
      <c r="K103" s="97"/>
      <c r="L103" s="97"/>
      <c r="M103" s="97"/>
      <c r="N103" s="97" t="str">
        <f>IF(C103="","",VLOOKUP(C103,'SCORE(1)'!$A$201:$J$417,8,FALSE))</f>
        <v/>
      </c>
      <c r="O103" s="97"/>
      <c r="P103" s="97"/>
      <c r="Q103" s="97"/>
      <c r="R103" s="97" t="str">
        <f>IF(C103="","",'SCORE(1)'!H89)</f>
        <v/>
      </c>
      <c r="S103" s="97"/>
      <c r="T103" s="97"/>
      <c r="U103" s="97"/>
      <c r="V103" s="97" t="str">
        <f>IF(C103="","",VLOOKUP(C103,'SCORE(1)'!$A$201:$J$417,10,FALSE))</f>
        <v/>
      </c>
      <c r="W103" s="97"/>
      <c r="X103" s="97"/>
      <c r="Y103" s="97"/>
      <c r="Z103" s="97"/>
      <c r="AA103" s="97" t="str">
        <f>IF(C103="","",VLOOKUP(C103,'SCORE(1)'!$A$201:$J$417,7,FALSE))</f>
        <v/>
      </c>
      <c r="AB103" s="97"/>
      <c r="AC103" s="97"/>
      <c r="AD103" s="69"/>
      <c r="AE103" s="69"/>
      <c r="AF103" s="69"/>
      <c r="AG103" s="69"/>
      <c r="AH103" s="69"/>
      <c r="AI103" s="69"/>
      <c r="AJ103" s="69"/>
    </row>
    <row r="104" spans="1:36" x14ac:dyDescent="0.25">
      <c r="A104" s="114">
        <v>80</v>
      </c>
      <c r="B104" s="115"/>
      <c r="C104" s="112"/>
      <c r="D104" s="113"/>
      <c r="E104" s="113"/>
      <c r="F104" s="97" t="str">
        <f>IF(C104="","",VLOOKUP(C104,'SCORE(1)'!$A$201:$N$420,2,FALSE))</f>
        <v/>
      </c>
      <c r="G104" s="97"/>
      <c r="H104" s="97"/>
      <c r="I104" s="97"/>
      <c r="J104" s="97"/>
      <c r="K104" s="97"/>
      <c r="L104" s="97"/>
      <c r="M104" s="97"/>
      <c r="N104" s="97" t="str">
        <f>IF(C104="","",VLOOKUP(C104,'SCORE(1)'!$A$201:$J$417,8,FALSE))</f>
        <v/>
      </c>
      <c r="O104" s="97"/>
      <c r="P104" s="97"/>
      <c r="Q104" s="97"/>
      <c r="R104" s="97" t="str">
        <f>IF(C104="","",'SCORE(1)'!H90)</f>
        <v/>
      </c>
      <c r="S104" s="97"/>
      <c r="T104" s="97"/>
      <c r="U104" s="97"/>
      <c r="V104" s="97" t="str">
        <f>IF(C104="","",VLOOKUP(C104,'SCORE(1)'!$A$201:$J$417,10,FALSE))</f>
        <v/>
      </c>
      <c r="W104" s="97"/>
      <c r="X104" s="97"/>
      <c r="Y104" s="97"/>
      <c r="Z104" s="97"/>
      <c r="AA104" s="97" t="str">
        <f>IF(C104="","",VLOOKUP(C104,'SCORE(1)'!$A$201:$J$417,7,FALSE))</f>
        <v/>
      </c>
      <c r="AB104" s="97"/>
      <c r="AC104" s="97"/>
      <c r="AD104" s="69"/>
      <c r="AE104" s="69"/>
      <c r="AF104" s="69"/>
      <c r="AG104" s="69"/>
      <c r="AH104" s="69"/>
      <c r="AI104" s="69"/>
      <c r="AJ104" s="69"/>
    </row>
    <row r="105" spans="1:36" x14ac:dyDescent="0.25">
      <c r="A105" s="114">
        <v>81</v>
      </c>
      <c r="B105" s="115"/>
      <c r="C105" s="112"/>
      <c r="D105" s="113"/>
      <c r="E105" s="113"/>
      <c r="F105" s="97" t="str">
        <f>IF(C105="","",VLOOKUP(C105,'SCORE(1)'!$A$201:$N$420,2,FALSE))</f>
        <v/>
      </c>
      <c r="G105" s="97"/>
      <c r="H105" s="97"/>
      <c r="I105" s="97"/>
      <c r="J105" s="97"/>
      <c r="K105" s="97"/>
      <c r="L105" s="97"/>
      <c r="M105" s="97"/>
      <c r="N105" s="97" t="str">
        <f>IF(C105="","",VLOOKUP(C105,'SCORE(1)'!$A$201:$J$417,8,FALSE))</f>
        <v/>
      </c>
      <c r="O105" s="97"/>
      <c r="P105" s="97"/>
      <c r="Q105" s="97"/>
      <c r="R105" s="97" t="str">
        <f>IF(C105="","",'SCORE(1)'!H91)</f>
        <v/>
      </c>
      <c r="S105" s="97"/>
      <c r="T105" s="97"/>
      <c r="U105" s="97"/>
      <c r="V105" s="97" t="str">
        <f>IF(C105="","",VLOOKUP(C105,'SCORE(1)'!$A$201:$J$417,10,FALSE))</f>
        <v/>
      </c>
      <c r="W105" s="97"/>
      <c r="X105" s="97"/>
      <c r="Y105" s="97"/>
      <c r="Z105" s="97"/>
      <c r="AA105" s="97" t="str">
        <f>IF(C105="","",VLOOKUP(C105,'SCORE(1)'!$A$201:$J$417,7,FALSE))</f>
        <v/>
      </c>
      <c r="AB105" s="97"/>
      <c r="AC105" s="97"/>
      <c r="AD105" s="69"/>
      <c r="AE105" s="69"/>
      <c r="AF105" s="69"/>
      <c r="AG105" s="69"/>
      <c r="AH105" s="69"/>
      <c r="AI105" s="69"/>
      <c r="AJ105" s="69"/>
    </row>
    <row r="106" spans="1:36" x14ac:dyDescent="0.25">
      <c r="A106" s="114">
        <v>82</v>
      </c>
      <c r="B106" s="115"/>
      <c r="C106" s="112"/>
      <c r="D106" s="113"/>
      <c r="E106" s="113"/>
      <c r="F106" s="97" t="str">
        <f>IF(C106="","",VLOOKUP(C106,'SCORE(1)'!$A$201:$N$420,2,FALSE))</f>
        <v/>
      </c>
      <c r="G106" s="97"/>
      <c r="H106" s="97"/>
      <c r="I106" s="97"/>
      <c r="J106" s="97"/>
      <c r="K106" s="97"/>
      <c r="L106" s="97"/>
      <c r="M106" s="97"/>
      <c r="N106" s="97" t="str">
        <f>IF(C106="","",VLOOKUP(C106,'SCORE(1)'!$A$201:$J$417,8,FALSE))</f>
        <v/>
      </c>
      <c r="O106" s="97"/>
      <c r="P106" s="97"/>
      <c r="Q106" s="97"/>
      <c r="R106" s="97" t="str">
        <f>IF(C106="","",'SCORE(1)'!H92)</f>
        <v/>
      </c>
      <c r="S106" s="97"/>
      <c r="T106" s="97"/>
      <c r="U106" s="97"/>
      <c r="V106" s="97" t="str">
        <f>IF(C106="","",VLOOKUP(C106,'SCORE(1)'!$A$201:$J$417,10,FALSE))</f>
        <v/>
      </c>
      <c r="W106" s="97"/>
      <c r="X106" s="97"/>
      <c r="Y106" s="97"/>
      <c r="Z106" s="97"/>
      <c r="AA106" s="97" t="str">
        <f>IF(C106="","",VLOOKUP(C106,'SCORE(1)'!$A$201:$J$417,7,FALSE))</f>
        <v/>
      </c>
      <c r="AB106" s="97"/>
      <c r="AC106" s="97"/>
      <c r="AD106" s="69"/>
      <c r="AE106" s="69"/>
      <c r="AF106" s="69"/>
      <c r="AG106" s="69"/>
      <c r="AH106" s="69"/>
      <c r="AI106" s="69"/>
      <c r="AJ106" s="69"/>
    </row>
    <row r="107" spans="1:36" x14ac:dyDescent="0.25">
      <c r="A107" s="114">
        <v>83</v>
      </c>
      <c r="B107" s="115"/>
      <c r="C107" s="112"/>
      <c r="D107" s="113"/>
      <c r="E107" s="113"/>
      <c r="F107" s="97" t="str">
        <f>IF(C107="","",VLOOKUP(C107,'SCORE(1)'!$A$201:$N$420,2,FALSE))</f>
        <v/>
      </c>
      <c r="G107" s="97"/>
      <c r="H107" s="97"/>
      <c r="I107" s="97"/>
      <c r="J107" s="97"/>
      <c r="K107" s="97"/>
      <c r="L107" s="97"/>
      <c r="M107" s="97"/>
      <c r="N107" s="97" t="str">
        <f>IF(C107="","",VLOOKUP(C107,'SCORE(1)'!$A$201:$J$417,8,FALSE))</f>
        <v/>
      </c>
      <c r="O107" s="97"/>
      <c r="P107" s="97"/>
      <c r="Q107" s="97"/>
      <c r="R107" s="97" t="str">
        <f>IF(C107="","",'SCORE(1)'!H93)</f>
        <v/>
      </c>
      <c r="S107" s="97"/>
      <c r="T107" s="97"/>
      <c r="U107" s="97"/>
      <c r="V107" s="97" t="str">
        <f>IF(C107="","",VLOOKUP(C107,'SCORE(1)'!$A$201:$J$417,10,FALSE))</f>
        <v/>
      </c>
      <c r="W107" s="97"/>
      <c r="X107" s="97"/>
      <c r="Y107" s="97"/>
      <c r="Z107" s="97"/>
      <c r="AA107" s="97" t="str">
        <f>IF(C107="","",VLOOKUP(C107,'SCORE(1)'!$A$201:$J$417,7,FALSE))</f>
        <v/>
      </c>
      <c r="AB107" s="97"/>
      <c r="AC107" s="97"/>
      <c r="AD107" s="69"/>
      <c r="AE107" s="69"/>
      <c r="AF107" s="69"/>
      <c r="AG107" s="69"/>
      <c r="AH107" s="69"/>
      <c r="AI107" s="69"/>
      <c r="AJ107" s="69"/>
    </row>
    <row r="108" spans="1:36" x14ac:dyDescent="0.25">
      <c r="A108" s="114">
        <v>84</v>
      </c>
      <c r="B108" s="115"/>
      <c r="C108" s="112"/>
      <c r="D108" s="113"/>
      <c r="E108" s="113"/>
      <c r="F108" s="97" t="str">
        <f>IF(C108="","",VLOOKUP(C108,'SCORE(1)'!$A$201:$N$420,2,FALSE))</f>
        <v/>
      </c>
      <c r="G108" s="97"/>
      <c r="H108" s="97"/>
      <c r="I108" s="97"/>
      <c r="J108" s="97"/>
      <c r="K108" s="97"/>
      <c r="L108" s="97"/>
      <c r="M108" s="97"/>
      <c r="N108" s="97" t="str">
        <f>IF(C108="","",VLOOKUP(C108,'SCORE(1)'!$A$201:$J$417,8,FALSE))</f>
        <v/>
      </c>
      <c r="O108" s="97"/>
      <c r="P108" s="97"/>
      <c r="Q108" s="97"/>
      <c r="R108" s="97" t="str">
        <f>IF(C108="","",'SCORE(1)'!H94)</f>
        <v/>
      </c>
      <c r="S108" s="97"/>
      <c r="T108" s="97"/>
      <c r="U108" s="97"/>
      <c r="V108" s="97" t="str">
        <f>IF(C108="","",VLOOKUP(C108,'SCORE(1)'!$A$201:$J$417,10,FALSE))</f>
        <v/>
      </c>
      <c r="W108" s="97"/>
      <c r="X108" s="97"/>
      <c r="Y108" s="97"/>
      <c r="Z108" s="97"/>
      <c r="AA108" s="97" t="str">
        <f>IF(C108="","",VLOOKUP(C108,'SCORE(1)'!$A$201:$J$417,7,FALSE))</f>
        <v/>
      </c>
      <c r="AB108" s="97"/>
      <c r="AC108" s="97"/>
      <c r="AD108" s="69"/>
      <c r="AE108" s="69"/>
      <c r="AF108" s="69"/>
      <c r="AG108" s="69"/>
      <c r="AH108" s="69"/>
      <c r="AI108" s="69"/>
      <c r="AJ108" s="69"/>
    </row>
    <row r="109" spans="1:36" x14ac:dyDescent="0.25">
      <c r="A109" s="114">
        <v>85</v>
      </c>
      <c r="B109" s="115"/>
      <c r="C109" s="112"/>
      <c r="D109" s="113"/>
      <c r="E109" s="113"/>
      <c r="F109" s="97" t="str">
        <f>IF(C109="","",VLOOKUP(C109,'SCORE(1)'!$A$201:$N$420,2,FALSE))</f>
        <v/>
      </c>
      <c r="G109" s="97"/>
      <c r="H109" s="97"/>
      <c r="I109" s="97"/>
      <c r="J109" s="97"/>
      <c r="K109" s="97"/>
      <c r="L109" s="97"/>
      <c r="M109" s="97"/>
      <c r="N109" s="97" t="str">
        <f>IF(C109="","",VLOOKUP(C109,'SCORE(1)'!$A$201:$J$417,8,FALSE))</f>
        <v/>
      </c>
      <c r="O109" s="97"/>
      <c r="P109" s="97"/>
      <c r="Q109" s="97"/>
      <c r="R109" s="97" t="str">
        <f>IF(C109="","",'SCORE(1)'!H95)</f>
        <v/>
      </c>
      <c r="S109" s="97"/>
      <c r="T109" s="97"/>
      <c r="U109" s="97"/>
      <c r="V109" s="97" t="str">
        <f>IF(C109="","",VLOOKUP(C109,'SCORE(1)'!$A$201:$J$417,10,FALSE))</f>
        <v/>
      </c>
      <c r="W109" s="97"/>
      <c r="X109" s="97"/>
      <c r="Y109" s="97"/>
      <c r="Z109" s="97"/>
      <c r="AA109" s="97" t="str">
        <f>IF(C109="","",VLOOKUP(C109,'SCORE(1)'!$A$201:$J$417,7,FALSE))</f>
        <v/>
      </c>
      <c r="AB109" s="97"/>
      <c r="AC109" s="97"/>
      <c r="AD109" s="69"/>
      <c r="AE109" s="69"/>
      <c r="AF109" s="69"/>
      <c r="AG109" s="69"/>
      <c r="AH109" s="69"/>
      <c r="AI109" s="69"/>
      <c r="AJ109" s="69"/>
    </row>
    <row r="110" spans="1:36" x14ac:dyDescent="0.25">
      <c r="A110" s="114">
        <v>86</v>
      </c>
      <c r="B110" s="115"/>
      <c r="C110" s="112"/>
      <c r="D110" s="113"/>
      <c r="E110" s="113"/>
      <c r="F110" s="97" t="str">
        <f>IF(C110="","",VLOOKUP(C110,'SCORE(1)'!$A$201:$N$420,2,FALSE))</f>
        <v/>
      </c>
      <c r="G110" s="97"/>
      <c r="H110" s="97"/>
      <c r="I110" s="97"/>
      <c r="J110" s="97"/>
      <c r="K110" s="97"/>
      <c r="L110" s="97"/>
      <c r="M110" s="97"/>
      <c r="N110" s="97" t="str">
        <f>IF(C110="","",VLOOKUP(C110,'SCORE(1)'!$A$201:$J$417,8,FALSE))</f>
        <v/>
      </c>
      <c r="O110" s="97"/>
      <c r="P110" s="97"/>
      <c r="Q110" s="97"/>
      <c r="R110" s="97" t="str">
        <f>IF(C110="","",'SCORE(1)'!H96)</f>
        <v/>
      </c>
      <c r="S110" s="97"/>
      <c r="T110" s="97"/>
      <c r="U110" s="97"/>
      <c r="V110" s="97" t="str">
        <f>IF(C110="","",VLOOKUP(C110,'SCORE(1)'!$A$201:$J$417,10,FALSE))</f>
        <v/>
      </c>
      <c r="W110" s="97"/>
      <c r="X110" s="97"/>
      <c r="Y110" s="97"/>
      <c r="Z110" s="97"/>
      <c r="AA110" s="97" t="str">
        <f>IF(C110="","",VLOOKUP(C110,'SCORE(1)'!$A$201:$J$417,7,FALSE))</f>
        <v/>
      </c>
      <c r="AB110" s="97"/>
      <c r="AC110" s="97"/>
      <c r="AD110" s="69"/>
      <c r="AE110" s="69"/>
      <c r="AF110" s="69"/>
      <c r="AG110" s="69"/>
      <c r="AH110" s="69"/>
      <c r="AI110" s="69"/>
      <c r="AJ110" s="69"/>
    </row>
    <row r="111" spans="1:36" x14ac:dyDescent="0.25">
      <c r="A111" s="114">
        <v>87</v>
      </c>
      <c r="B111" s="115"/>
      <c r="C111" s="112"/>
      <c r="D111" s="113"/>
      <c r="E111" s="113"/>
      <c r="F111" s="97" t="str">
        <f>IF(C111="","",VLOOKUP(C111,'SCORE(1)'!$A$201:$N$420,2,FALSE))</f>
        <v/>
      </c>
      <c r="G111" s="97"/>
      <c r="H111" s="97"/>
      <c r="I111" s="97"/>
      <c r="J111" s="97"/>
      <c r="K111" s="97"/>
      <c r="L111" s="97"/>
      <c r="M111" s="97"/>
      <c r="N111" s="97" t="str">
        <f>IF(C111="","",VLOOKUP(C111,'SCORE(1)'!$A$201:$J$417,8,FALSE))</f>
        <v/>
      </c>
      <c r="O111" s="97"/>
      <c r="P111" s="97"/>
      <c r="Q111" s="97"/>
      <c r="R111" s="97" t="str">
        <f>IF(C111="","",'SCORE(1)'!H97)</f>
        <v/>
      </c>
      <c r="S111" s="97"/>
      <c r="T111" s="97"/>
      <c r="U111" s="97"/>
      <c r="V111" s="97" t="str">
        <f>IF(C111="","",VLOOKUP(C111,'SCORE(1)'!$A$201:$J$417,10,FALSE))</f>
        <v/>
      </c>
      <c r="W111" s="97"/>
      <c r="X111" s="97"/>
      <c r="Y111" s="97"/>
      <c r="Z111" s="97"/>
      <c r="AA111" s="97" t="str">
        <f>IF(C111="","",VLOOKUP(C111,'SCORE(1)'!$A$201:$J$417,7,FALSE))</f>
        <v/>
      </c>
      <c r="AB111" s="97"/>
      <c r="AC111" s="97"/>
      <c r="AD111" s="69"/>
      <c r="AE111" s="69"/>
      <c r="AF111" s="69"/>
      <c r="AG111" s="69"/>
      <c r="AH111" s="69"/>
      <c r="AI111" s="69"/>
      <c r="AJ111" s="69"/>
    </row>
    <row r="112" spans="1:36" x14ac:dyDescent="0.25">
      <c r="A112" s="114">
        <v>88</v>
      </c>
      <c r="B112" s="115"/>
      <c r="C112" s="112"/>
      <c r="D112" s="113"/>
      <c r="E112" s="113"/>
      <c r="F112" s="97" t="str">
        <f>IF(C112="","",VLOOKUP(C112,'SCORE(1)'!$A$201:$N$420,2,FALSE))</f>
        <v/>
      </c>
      <c r="G112" s="97"/>
      <c r="H112" s="97"/>
      <c r="I112" s="97"/>
      <c r="J112" s="97"/>
      <c r="K112" s="97"/>
      <c r="L112" s="97"/>
      <c r="M112" s="97"/>
      <c r="N112" s="97" t="str">
        <f>IF(C112="","",VLOOKUP(C112,'SCORE(1)'!$A$201:$J$417,8,FALSE))</f>
        <v/>
      </c>
      <c r="O112" s="97"/>
      <c r="P112" s="97"/>
      <c r="Q112" s="97"/>
      <c r="R112" s="97" t="str">
        <f>IF(C112="","",'SCORE(1)'!H98)</f>
        <v/>
      </c>
      <c r="S112" s="97"/>
      <c r="T112" s="97"/>
      <c r="U112" s="97"/>
      <c r="V112" s="97" t="str">
        <f>IF(C112="","",VLOOKUP(C112,'SCORE(1)'!$A$201:$J$417,10,FALSE))</f>
        <v/>
      </c>
      <c r="W112" s="97"/>
      <c r="X112" s="97"/>
      <c r="Y112" s="97"/>
      <c r="Z112" s="97"/>
      <c r="AA112" s="97" t="str">
        <f>IF(C112="","",VLOOKUP(C112,'SCORE(1)'!$A$201:$J$417,7,FALSE))</f>
        <v/>
      </c>
      <c r="AB112" s="97"/>
      <c r="AC112" s="97"/>
      <c r="AD112" s="69"/>
      <c r="AE112" s="69"/>
      <c r="AF112" s="69"/>
      <c r="AG112" s="69"/>
      <c r="AH112" s="69"/>
      <c r="AI112" s="69"/>
      <c r="AJ112" s="69"/>
    </row>
    <row r="113" spans="1:36" x14ac:dyDescent="0.25">
      <c r="A113" s="114">
        <v>89</v>
      </c>
      <c r="B113" s="115"/>
      <c r="C113" s="112"/>
      <c r="D113" s="113"/>
      <c r="E113" s="113"/>
      <c r="F113" s="97" t="str">
        <f>IF(C113="","",VLOOKUP(C113,'SCORE(1)'!$A$201:$N$420,2,FALSE))</f>
        <v/>
      </c>
      <c r="G113" s="97"/>
      <c r="H113" s="97"/>
      <c r="I113" s="97"/>
      <c r="J113" s="97"/>
      <c r="K113" s="97"/>
      <c r="L113" s="97"/>
      <c r="M113" s="97"/>
      <c r="N113" s="97" t="str">
        <f>IF(C113="","",VLOOKUP(C113,'SCORE(1)'!$A$201:$J$417,8,FALSE))</f>
        <v/>
      </c>
      <c r="O113" s="97"/>
      <c r="P113" s="97"/>
      <c r="Q113" s="97"/>
      <c r="R113" s="97" t="str">
        <f>IF(C113="","",'SCORE(1)'!H99)</f>
        <v/>
      </c>
      <c r="S113" s="97"/>
      <c r="T113" s="97"/>
      <c r="U113" s="97"/>
      <c r="V113" s="97" t="str">
        <f>IF(C113="","",VLOOKUP(C113,'SCORE(1)'!$A$201:$J$417,10,FALSE))</f>
        <v/>
      </c>
      <c r="W113" s="97"/>
      <c r="X113" s="97"/>
      <c r="Y113" s="97"/>
      <c r="Z113" s="97"/>
      <c r="AA113" s="97" t="str">
        <f>IF(C113="","",VLOOKUP(C113,'SCORE(1)'!$A$201:$J$417,7,FALSE))</f>
        <v/>
      </c>
      <c r="AB113" s="97"/>
      <c r="AC113" s="97"/>
      <c r="AD113" s="69"/>
      <c r="AE113" s="69"/>
      <c r="AF113" s="69"/>
      <c r="AG113" s="69"/>
      <c r="AH113" s="69"/>
      <c r="AI113" s="69"/>
      <c r="AJ113" s="69"/>
    </row>
    <row r="114" spans="1:36" x14ac:dyDescent="0.25">
      <c r="A114" s="114">
        <v>90</v>
      </c>
      <c r="B114" s="115"/>
      <c r="C114" s="112"/>
      <c r="D114" s="113"/>
      <c r="E114" s="113"/>
      <c r="F114" s="97" t="str">
        <f>IF(C114="","",VLOOKUP(C114,'SCORE(1)'!$A$201:$N$420,2,FALSE))</f>
        <v/>
      </c>
      <c r="G114" s="97"/>
      <c r="H114" s="97"/>
      <c r="I114" s="97"/>
      <c r="J114" s="97"/>
      <c r="K114" s="97"/>
      <c r="L114" s="97"/>
      <c r="M114" s="97"/>
      <c r="N114" s="97" t="str">
        <f>IF(C114="","",VLOOKUP(C114,'SCORE(1)'!$A$201:$J$417,8,FALSE))</f>
        <v/>
      </c>
      <c r="O114" s="97"/>
      <c r="P114" s="97"/>
      <c r="Q114" s="97"/>
      <c r="R114" s="97" t="str">
        <f>IF(C114="","",'SCORE(1)'!H100)</f>
        <v/>
      </c>
      <c r="S114" s="97"/>
      <c r="T114" s="97"/>
      <c r="U114" s="97"/>
      <c r="V114" s="97" t="str">
        <f>IF(C114="","",VLOOKUP(C114,'SCORE(1)'!$A$201:$J$417,10,FALSE))</f>
        <v/>
      </c>
      <c r="W114" s="97"/>
      <c r="X114" s="97"/>
      <c r="Y114" s="97"/>
      <c r="Z114" s="97"/>
      <c r="AA114" s="97" t="str">
        <f>IF(C114="","",VLOOKUP(C114,'SCORE(1)'!$A$201:$J$417,7,FALSE))</f>
        <v/>
      </c>
      <c r="AB114" s="97"/>
      <c r="AC114" s="97"/>
      <c r="AD114" s="69"/>
      <c r="AE114" s="69"/>
      <c r="AF114" s="69"/>
      <c r="AG114" s="69"/>
      <c r="AH114" s="69"/>
      <c r="AI114" s="69"/>
      <c r="AJ114" s="69"/>
    </row>
    <row r="115" spans="1:36" x14ac:dyDescent="0.25">
      <c r="A115" s="114">
        <v>91</v>
      </c>
      <c r="B115" s="115"/>
      <c r="C115" s="112"/>
      <c r="D115" s="113"/>
      <c r="E115" s="113"/>
      <c r="F115" s="97" t="str">
        <f>IF(C115="","",VLOOKUP(C115,'SCORE(1)'!$A$201:$N$420,2,FALSE))</f>
        <v/>
      </c>
      <c r="G115" s="97"/>
      <c r="H115" s="97"/>
      <c r="I115" s="97"/>
      <c r="J115" s="97"/>
      <c r="K115" s="97"/>
      <c r="L115" s="97"/>
      <c r="M115" s="97"/>
      <c r="N115" s="97" t="str">
        <f>IF(C115="","",VLOOKUP(C115,'SCORE(1)'!$A$201:$J$417,8,FALSE))</f>
        <v/>
      </c>
      <c r="O115" s="97"/>
      <c r="P115" s="97"/>
      <c r="Q115" s="97"/>
      <c r="R115" s="97" t="str">
        <f>IF(C115="","",'SCORE(1)'!H101)</f>
        <v/>
      </c>
      <c r="S115" s="97"/>
      <c r="T115" s="97"/>
      <c r="U115" s="97"/>
      <c r="V115" s="97" t="str">
        <f>IF(C115="","",VLOOKUP(C115,'SCORE(1)'!$A$201:$J$417,10,FALSE))</f>
        <v/>
      </c>
      <c r="W115" s="97"/>
      <c r="X115" s="97"/>
      <c r="Y115" s="97"/>
      <c r="Z115" s="97"/>
      <c r="AA115" s="97" t="str">
        <f>IF(C115="","",VLOOKUP(C115,'SCORE(1)'!$A$201:$J$417,7,FALSE))</f>
        <v/>
      </c>
      <c r="AB115" s="97"/>
      <c r="AC115" s="97"/>
      <c r="AD115" s="69"/>
      <c r="AE115" s="69"/>
      <c r="AF115" s="69"/>
      <c r="AG115" s="69"/>
      <c r="AH115" s="69"/>
      <c r="AI115" s="69"/>
      <c r="AJ115" s="69"/>
    </row>
    <row r="116" spans="1:36" x14ac:dyDescent="0.25">
      <c r="A116" s="114">
        <v>92</v>
      </c>
      <c r="B116" s="115"/>
      <c r="C116" s="112"/>
      <c r="D116" s="113"/>
      <c r="E116" s="113"/>
      <c r="F116" s="97" t="str">
        <f>IF(C116="","",VLOOKUP(C116,'SCORE(1)'!$A$201:$N$420,2,FALSE))</f>
        <v/>
      </c>
      <c r="G116" s="97"/>
      <c r="H116" s="97"/>
      <c r="I116" s="97"/>
      <c r="J116" s="97"/>
      <c r="K116" s="97"/>
      <c r="L116" s="97"/>
      <c r="M116" s="97"/>
      <c r="N116" s="97" t="str">
        <f>IF(C116="","",VLOOKUP(C116,'SCORE(1)'!$A$201:$J$417,8,FALSE))</f>
        <v/>
      </c>
      <c r="O116" s="97"/>
      <c r="P116" s="97"/>
      <c r="Q116" s="97"/>
      <c r="R116" s="97" t="str">
        <f>IF(C116="","",'SCORE(1)'!H102)</f>
        <v/>
      </c>
      <c r="S116" s="97"/>
      <c r="T116" s="97"/>
      <c r="U116" s="97"/>
      <c r="V116" s="97" t="str">
        <f>IF(C116="","",VLOOKUP(C116,'SCORE(1)'!$A$201:$J$417,10,FALSE))</f>
        <v/>
      </c>
      <c r="W116" s="97"/>
      <c r="X116" s="97"/>
      <c r="Y116" s="97"/>
      <c r="Z116" s="97"/>
      <c r="AA116" s="97" t="str">
        <f>IF(C116="","",VLOOKUP(C116,'SCORE(1)'!$A$201:$J$417,7,FALSE))</f>
        <v/>
      </c>
      <c r="AB116" s="97"/>
      <c r="AC116" s="97"/>
      <c r="AD116" s="69"/>
      <c r="AE116" s="69"/>
      <c r="AF116" s="69"/>
      <c r="AG116" s="69"/>
      <c r="AH116" s="69"/>
      <c r="AI116" s="69"/>
      <c r="AJ116" s="69"/>
    </row>
    <row r="117" spans="1:36" x14ac:dyDescent="0.25">
      <c r="A117" s="114">
        <v>93</v>
      </c>
      <c r="B117" s="115"/>
      <c r="C117" s="112"/>
      <c r="D117" s="113"/>
      <c r="E117" s="113"/>
      <c r="F117" s="97" t="str">
        <f>IF(C117="","",VLOOKUP(C117,'SCORE(1)'!$A$201:$N$420,2,FALSE))</f>
        <v/>
      </c>
      <c r="G117" s="97"/>
      <c r="H117" s="97"/>
      <c r="I117" s="97"/>
      <c r="J117" s="97"/>
      <c r="K117" s="97"/>
      <c r="L117" s="97"/>
      <c r="M117" s="97"/>
      <c r="N117" s="97" t="str">
        <f>IF(C117="","",VLOOKUP(C117,'SCORE(1)'!$A$201:$J$417,8,FALSE))</f>
        <v/>
      </c>
      <c r="O117" s="97"/>
      <c r="P117" s="97"/>
      <c r="Q117" s="97"/>
      <c r="R117" s="97" t="str">
        <f>IF(C117="","",'SCORE(1)'!H103)</f>
        <v/>
      </c>
      <c r="S117" s="97"/>
      <c r="T117" s="97"/>
      <c r="U117" s="97"/>
      <c r="V117" s="97" t="str">
        <f>IF(C117="","",VLOOKUP(C117,'SCORE(1)'!$A$201:$J$417,10,FALSE))</f>
        <v/>
      </c>
      <c r="W117" s="97"/>
      <c r="X117" s="97"/>
      <c r="Y117" s="97"/>
      <c r="Z117" s="97"/>
      <c r="AA117" s="97" t="str">
        <f>IF(C117="","",VLOOKUP(C117,'SCORE(1)'!$A$201:$J$417,7,FALSE))</f>
        <v/>
      </c>
      <c r="AB117" s="97"/>
      <c r="AC117" s="97"/>
      <c r="AD117" s="69"/>
      <c r="AE117" s="69"/>
      <c r="AF117" s="69"/>
      <c r="AG117" s="69"/>
      <c r="AH117" s="69"/>
      <c r="AI117" s="69"/>
      <c r="AJ117" s="69"/>
    </row>
    <row r="118" spans="1:36" x14ac:dyDescent="0.25">
      <c r="A118" s="114">
        <v>94</v>
      </c>
      <c r="B118" s="115"/>
      <c r="C118" s="112"/>
      <c r="D118" s="113"/>
      <c r="E118" s="113"/>
      <c r="F118" s="97" t="str">
        <f>IF(C118="","",VLOOKUP(C118,'SCORE(1)'!$A$201:$N$420,2,FALSE))</f>
        <v/>
      </c>
      <c r="G118" s="97"/>
      <c r="H118" s="97"/>
      <c r="I118" s="97"/>
      <c r="J118" s="97"/>
      <c r="K118" s="97"/>
      <c r="L118" s="97"/>
      <c r="M118" s="97"/>
      <c r="N118" s="97" t="str">
        <f>IF(C118="","",VLOOKUP(C118,'SCORE(1)'!$A$201:$J$417,8,FALSE))</f>
        <v/>
      </c>
      <c r="O118" s="97"/>
      <c r="P118" s="97"/>
      <c r="Q118" s="97"/>
      <c r="R118" s="97" t="str">
        <f>IF(C118="","",'SCORE(1)'!H104)</f>
        <v/>
      </c>
      <c r="S118" s="97"/>
      <c r="T118" s="97"/>
      <c r="U118" s="97"/>
      <c r="V118" s="97" t="str">
        <f>IF(C118="","",VLOOKUP(C118,'SCORE(1)'!$A$201:$J$417,10,FALSE))</f>
        <v/>
      </c>
      <c r="W118" s="97"/>
      <c r="X118" s="97"/>
      <c r="Y118" s="97"/>
      <c r="Z118" s="97"/>
      <c r="AA118" s="97" t="str">
        <f>IF(C118="","",VLOOKUP(C118,'SCORE(1)'!$A$201:$J$417,7,FALSE))</f>
        <v/>
      </c>
      <c r="AB118" s="97"/>
      <c r="AC118" s="97"/>
      <c r="AD118" s="69"/>
      <c r="AE118" s="69"/>
      <c r="AF118" s="69"/>
      <c r="AG118" s="69"/>
      <c r="AH118" s="69"/>
      <c r="AI118" s="69"/>
      <c r="AJ118" s="69"/>
    </row>
    <row r="119" spans="1:36" x14ac:dyDescent="0.25">
      <c r="A119" s="114">
        <v>95</v>
      </c>
      <c r="B119" s="115"/>
      <c r="C119" s="112"/>
      <c r="D119" s="113"/>
      <c r="E119" s="113"/>
      <c r="F119" s="97" t="str">
        <f>IF(C119="","",VLOOKUP(C119,'SCORE(1)'!$A$201:$N$420,2,FALSE))</f>
        <v/>
      </c>
      <c r="G119" s="97"/>
      <c r="H119" s="97"/>
      <c r="I119" s="97"/>
      <c r="J119" s="97"/>
      <c r="K119" s="97"/>
      <c r="L119" s="97"/>
      <c r="M119" s="97"/>
      <c r="N119" s="97" t="str">
        <f>IF(C119="","",VLOOKUP(C119,'SCORE(1)'!$A$201:$J$417,8,FALSE))</f>
        <v/>
      </c>
      <c r="O119" s="97"/>
      <c r="P119" s="97"/>
      <c r="Q119" s="97"/>
      <c r="R119" s="97" t="str">
        <f>IF(C119="","",'SCORE(1)'!H105)</f>
        <v/>
      </c>
      <c r="S119" s="97"/>
      <c r="T119" s="97"/>
      <c r="U119" s="97"/>
      <c r="V119" s="97" t="str">
        <f>IF(C119="","",VLOOKUP(C119,'SCORE(1)'!$A$201:$J$417,10,FALSE))</f>
        <v/>
      </c>
      <c r="W119" s="97"/>
      <c r="X119" s="97"/>
      <c r="Y119" s="97"/>
      <c r="Z119" s="97"/>
      <c r="AA119" s="97" t="str">
        <f>IF(C119="","",VLOOKUP(C119,'SCORE(1)'!$A$201:$J$417,7,FALSE))</f>
        <v/>
      </c>
      <c r="AB119" s="97"/>
      <c r="AC119" s="97"/>
      <c r="AD119" s="69"/>
      <c r="AE119" s="69"/>
      <c r="AF119" s="69"/>
      <c r="AG119" s="69"/>
      <c r="AH119" s="69"/>
      <c r="AI119" s="69"/>
      <c r="AJ119" s="69"/>
    </row>
    <row r="120" spans="1:36" x14ac:dyDescent="0.25">
      <c r="A120" s="114">
        <v>96</v>
      </c>
      <c r="B120" s="115"/>
      <c r="C120" s="112"/>
      <c r="D120" s="113"/>
      <c r="E120" s="113"/>
      <c r="F120" s="97" t="str">
        <f>IF(C120="","",VLOOKUP(C120,'SCORE(1)'!$A$201:$N$420,2,FALSE))</f>
        <v/>
      </c>
      <c r="G120" s="97"/>
      <c r="H120" s="97"/>
      <c r="I120" s="97"/>
      <c r="J120" s="97"/>
      <c r="K120" s="97"/>
      <c r="L120" s="97"/>
      <c r="M120" s="97"/>
      <c r="N120" s="97" t="str">
        <f>IF(C120="","",VLOOKUP(C120,'SCORE(1)'!$A$201:$J$417,8,FALSE))</f>
        <v/>
      </c>
      <c r="O120" s="97"/>
      <c r="P120" s="97"/>
      <c r="Q120" s="97"/>
      <c r="R120" s="97" t="str">
        <f>IF(C120="","",'SCORE(1)'!H106)</f>
        <v/>
      </c>
      <c r="S120" s="97"/>
      <c r="T120" s="97"/>
      <c r="U120" s="97"/>
      <c r="V120" s="97" t="str">
        <f>IF(C120="","",VLOOKUP(C120,'SCORE(1)'!$A$201:$J$417,10,FALSE))</f>
        <v/>
      </c>
      <c r="W120" s="97"/>
      <c r="X120" s="97"/>
      <c r="Y120" s="97"/>
      <c r="Z120" s="97"/>
      <c r="AA120" s="97" t="str">
        <f>IF(C120="","",VLOOKUP(C120,'SCORE(1)'!$A$201:$J$417,7,FALSE))</f>
        <v/>
      </c>
      <c r="AB120" s="97"/>
      <c r="AC120" s="97"/>
      <c r="AD120" s="69"/>
      <c r="AE120" s="69"/>
      <c r="AF120" s="69"/>
      <c r="AG120" s="69"/>
      <c r="AH120" s="69"/>
      <c r="AI120" s="69"/>
      <c r="AJ120" s="69"/>
    </row>
    <row r="121" spans="1:36" x14ac:dyDescent="0.25">
      <c r="A121" s="114">
        <v>97</v>
      </c>
      <c r="B121" s="115"/>
      <c r="C121" s="112"/>
      <c r="D121" s="113"/>
      <c r="E121" s="113"/>
      <c r="F121" s="97" t="str">
        <f>IF(C121="","",VLOOKUP(C121,'SCORE(1)'!$A$201:$N$420,2,FALSE))</f>
        <v/>
      </c>
      <c r="G121" s="97"/>
      <c r="H121" s="97"/>
      <c r="I121" s="97"/>
      <c r="J121" s="97"/>
      <c r="K121" s="97"/>
      <c r="L121" s="97"/>
      <c r="M121" s="97"/>
      <c r="N121" s="97" t="str">
        <f>IF(C121="","",VLOOKUP(C121,'SCORE(1)'!$A$201:$J$417,8,FALSE))</f>
        <v/>
      </c>
      <c r="O121" s="97"/>
      <c r="P121" s="97"/>
      <c r="Q121" s="97"/>
      <c r="R121" s="97" t="str">
        <f>IF(C121="","",'SCORE(1)'!H107)</f>
        <v/>
      </c>
      <c r="S121" s="97"/>
      <c r="T121" s="97"/>
      <c r="U121" s="97"/>
      <c r="V121" s="97" t="str">
        <f>IF(C121="","",VLOOKUP(C121,'SCORE(1)'!$A$201:$J$417,10,FALSE))</f>
        <v/>
      </c>
      <c r="W121" s="97"/>
      <c r="X121" s="97"/>
      <c r="Y121" s="97"/>
      <c r="Z121" s="97"/>
      <c r="AA121" s="97" t="str">
        <f>IF(C121="","",VLOOKUP(C121,'SCORE(1)'!$A$201:$J$417,7,FALSE))</f>
        <v/>
      </c>
      <c r="AB121" s="97"/>
      <c r="AC121" s="97"/>
      <c r="AD121" s="69"/>
      <c r="AE121" s="69"/>
      <c r="AF121" s="69"/>
      <c r="AG121" s="69"/>
      <c r="AH121" s="69"/>
      <c r="AI121" s="69"/>
      <c r="AJ121" s="69"/>
    </row>
    <row r="122" spans="1:36" x14ac:dyDescent="0.25">
      <c r="A122" s="114">
        <v>98</v>
      </c>
      <c r="B122" s="115"/>
      <c r="C122" s="112"/>
      <c r="D122" s="113"/>
      <c r="E122" s="113"/>
      <c r="F122" s="97" t="str">
        <f>IF(C122="","",VLOOKUP(C122,'SCORE(1)'!$A$201:$N$420,2,FALSE))</f>
        <v/>
      </c>
      <c r="G122" s="97"/>
      <c r="H122" s="97"/>
      <c r="I122" s="97"/>
      <c r="J122" s="97"/>
      <c r="K122" s="97"/>
      <c r="L122" s="97"/>
      <c r="M122" s="97"/>
      <c r="N122" s="97" t="str">
        <f>IF(C122="","",VLOOKUP(C122,'SCORE(1)'!$A$201:$J$417,8,FALSE))</f>
        <v/>
      </c>
      <c r="O122" s="97"/>
      <c r="P122" s="97"/>
      <c r="Q122" s="97"/>
      <c r="R122" s="97" t="str">
        <f>IF(C122="","",'SCORE(1)'!H108)</f>
        <v/>
      </c>
      <c r="S122" s="97"/>
      <c r="T122" s="97"/>
      <c r="U122" s="97"/>
      <c r="V122" s="97" t="str">
        <f>IF(C122="","",VLOOKUP(C122,'SCORE(1)'!$A$201:$J$417,10,FALSE))</f>
        <v/>
      </c>
      <c r="W122" s="97"/>
      <c r="X122" s="97"/>
      <c r="Y122" s="97"/>
      <c r="Z122" s="97"/>
      <c r="AA122" s="97" t="str">
        <f>IF(C122="","",VLOOKUP(C122,'SCORE(1)'!$A$201:$J$417,7,FALSE))</f>
        <v/>
      </c>
      <c r="AB122" s="97"/>
      <c r="AC122" s="97"/>
      <c r="AD122" s="69"/>
      <c r="AE122" s="69"/>
      <c r="AF122" s="69"/>
      <c r="AG122" s="69"/>
      <c r="AH122" s="69"/>
      <c r="AI122" s="69"/>
      <c r="AJ122" s="69"/>
    </row>
    <row r="123" spans="1:36" x14ac:dyDescent="0.25">
      <c r="A123" s="114">
        <v>99</v>
      </c>
      <c r="B123" s="115"/>
      <c r="C123" s="112"/>
      <c r="D123" s="113"/>
      <c r="E123" s="113"/>
      <c r="F123" s="97" t="str">
        <f>IF(C123="","",VLOOKUP(C123,'SCORE(1)'!$A$201:$N$420,2,FALSE))</f>
        <v/>
      </c>
      <c r="G123" s="97"/>
      <c r="H123" s="97"/>
      <c r="I123" s="97"/>
      <c r="J123" s="97"/>
      <c r="K123" s="97"/>
      <c r="L123" s="97"/>
      <c r="M123" s="97"/>
      <c r="N123" s="97" t="str">
        <f>IF(C123="","",VLOOKUP(C123,'SCORE(1)'!$A$201:$J$417,8,FALSE))</f>
        <v/>
      </c>
      <c r="O123" s="97"/>
      <c r="P123" s="97"/>
      <c r="Q123" s="97"/>
      <c r="R123" s="97" t="str">
        <f>IF(C123="","",'SCORE(1)'!H109)</f>
        <v/>
      </c>
      <c r="S123" s="97"/>
      <c r="T123" s="97"/>
      <c r="U123" s="97"/>
      <c r="V123" s="97" t="str">
        <f>IF(C123="","",VLOOKUP(C123,'SCORE(1)'!$A$201:$J$417,10,FALSE))</f>
        <v/>
      </c>
      <c r="W123" s="97"/>
      <c r="X123" s="97"/>
      <c r="Y123" s="97"/>
      <c r="Z123" s="97"/>
      <c r="AA123" s="97" t="str">
        <f>IF(C123="","",VLOOKUP(C123,'SCORE(1)'!$A$201:$J$417,7,FALSE))</f>
        <v/>
      </c>
      <c r="AB123" s="97"/>
      <c r="AC123" s="97"/>
      <c r="AD123" s="69"/>
      <c r="AE123" s="69"/>
      <c r="AF123" s="69"/>
      <c r="AG123" s="69"/>
      <c r="AH123" s="69"/>
      <c r="AI123" s="69"/>
      <c r="AJ123" s="69"/>
    </row>
    <row r="124" spans="1:36" x14ac:dyDescent="0.25">
      <c r="A124" s="114">
        <v>100</v>
      </c>
      <c r="B124" s="115"/>
      <c r="C124" s="112"/>
      <c r="D124" s="113"/>
      <c r="E124" s="113"/>
      <c r="F124" s="97" t="str">
        <f>IF(C124="","",VLOOKUP(C124,'SCORE(1)'!$A$201:$N$420,2,FALSE))</f>
        <v/>
      </c>
      <c r="G124" s="97"/>
      <c r="H124" s="97"/>
      <c r="I124" s="97"/>
      <c r="J124" s="97"/>
      <c r="K124" s="97"/>
      <c r="L124" s="97"/>
      <c r="M124" s="97"/>
      <c r="N124" s="97" t="str">
        <f>IF(C124="","",VLOOKUP(C124,'SCORE(1)'!$A$201:$J$417,8,FALSE))</f>
        <v/>
      </c>
      <c r="O124" s="97"/>
      <c r="P124" s="97"/>
      <c r="Q124" s="97"/>
      <c r="R124" s="97" t="str">
        <f>IF(C124="","",'SCORE(1)'!H110)</f>
        <v/>
      </c>
      <c r="S124" s="97"/>
      <c r="T124" s="97"/>
      <c r="U124" s="97"/>
      <c r="V124" s="97" t="str">
        <f>IF(C124="","",VLOOKUP(C124,'SCORE(1)'!$A$201:$J$417,10,FALSE))</f>
        <v/>
      </c>
      <c r="W124" s="97"/>
      <c r="X124" s="97"/>
      <c r="Y124" s="97"/>
      <c r="Z124" s="97"/>
      <c r="AA124" s="97" t="str">
        <f>IF(C124="","",VLOOKUP(C124,'SCORE(1)'!$A$201:$J$417,7,FALSE))</f>
        <v/>
      </c>
      <c r="AB124" s="97"/>
      <c r="AC124" s="97"/>
      <c r="AD124" s="69"/>
      <c r="AE124" s="69"/>
      <c r="AF124" s="69"/>
      <c r="AG124" s="69"/>
      <c r="AH124" s="69"/>
      <c r="AI124" s="69"/>
      <c r="AJ124" s="69"/>
    </row>
    <row r="125" spans="1:36" x14ac:dyDescent="0.25">
      <c r="A125" s="114">
        <v>101</v>
      </c>
      <c r="B125" s="115"/>
      <c r="C125" s="112"/>
      <c r="D125" s="113"/>
      <c r="E125" s="113"/>
      <c r="F125" s="97" t="str">
        <f>IF(C125="","",VLOOKUP(C125,'SCORE(1)'!$A$201:$N$420,2,FALSE))</f>
        <v/>
      </c>
      <c r="G125" s="97"/>
      <c r="H125" s="97"/>
      <c r="I125" s="97"/>
      <c r="J125" s="97"/>
      <c r="K125" s="97"/>
      <c r="L125" s="97"/>
      <c r="M125" s="97"/>
      <c r="N125" s="97" t="str">
        <f>IF(C125="","",VLOOKUP(C125,'SCORE(1)'!$A$201:$J$417,8,FALSE))</f>
        <v/>
      </c>
      <c r="O125" s="97"/>
      <c r="P125" s="97"/>
      <c r="Q125" s="97"/>
      <c r="R125" s="97" t="str">
        <f>IF(C125="","",'SCORE(1)'!H111)</f>
        <v/>
      </c>
      <c r="S125" s="97"/>
      <c r="T125" s="97"/>
      <c r="U125" s="97"/>
      <c r="V125" s="97" t="str">
        <f>IF(C125="","",VLOOKUP(C125,'SCORE(1)'!$A$201:$J$417,10,FALSE))</f>
        <v/>
      </c>
      <c r="W125" s="97"/>
      <c r="X125" s="97"/>
      <c r="Y125" s="97"/>
      <c r="Z125" s="97"/>
      <c r="AA125" s="97" t="str">
        <f>IF(C125="","",VLOOKUP(C125,'SCORE(1)'!$A$201:$J$417,7,FALSE))</f>
        <v/>
      </c>
      <c r="AB125" s="97"/>
      <c r="AC125" s="97"/>
      <c r="AD125" s="69"/>
      <c r="AE125" s="69"/>
      <c r="AF125" s="69"/>
      <c r="AG125" s="69"/>
      <c r="AH125" s="69"/>
      <c r="AI125" s="69"/>
      <c r="AJ125" s="69"/>
    </row>
    <row r="126" spans="1:36" x14ac:dyDescent="0.25">
      <c r="A126" s="114">
        <v>102</v>
      </c>
      <c r="B126" s="115"/>
      <c r="C126" s="112"/>
      <c r="D126" s="113"/>
      <c r="E126" s="113"/>
      <c r="F126" s="97" t="str">
        <f>IF(C126="","",VLOOKUP(C126,'SCORE(1)'!$A$201:$N$420,2,FALSE))</f>
        <v/>
      </c>
      <c r="G126" s="97"/>
      <c r="H126" s="97"/>
      <c r="I126" s="97"/>
      <c r="J126" s="97"/>
      <c r="K126" s="97"/>
      <c r="L126" s="97"/>
      <c r="M126" s="97"/>
      <c r="N126" s="97" t="str">
        <f>IF(C126="","",VLOOKUP(C126,'SCORE(1)'!$A$201:$J$417,8,FALSE))</f>
        <v/>
      </c>
      <c r="O126" s="97"/>
      <c r="P126" s="97"/>
      <c r="Q126" s="97"/>
      <c r="R126" s="97" t="str">
        <f>IF(C126="","",'SCORE(1)'!H112)</f>
        <v/>
      </c>
      <c r="S126" s="97"/>
      <c r="T126" s="97"/>
      <c r="U126" s="97"/>
      <c r="V126" s="97" t="str">
        <f>IF(C126="","",VLOOKUP(C126,'SCORE(1)'!$A$201:$J$417,10,FALSE))</f>
        <v/>
      </c>
      <c r="W126" s="97"/>
      <c r="X126" s="97"/>
      <c r="Y126" s="97"/>
      <c r="Z126" s="97"/>
      <c r="AA126" s="97" t="str">
        <f>IF(C126="","",VLOOKUP(C126,'SCORE(1)'!$A$201:$J$417,7,FALSE))</f>
        <v/>
      </c>
      <c r="AB126" s="97"/>
      <c r="AC126" s="97"/>
      <c r="AD126" s="69"/>
      <c r="AE126" s="69"/>
      <c r="AF126" s="69"/>
      <c r="AG126" s="69"/>
      <c r="AH126" s="69"/>
      <c r="AI126" s="69"/>
      <c r="AJ126" s="69"/>
    </row>
    <row r="127" spans="1:36" x14ac:dyDescent="0.25">
      <c r="A127" s="114">
        <v>103</v>
      </c>
      <c r="B127" s="115"/>
      <c r="C127" s="112"/>
      <c r="D127" s="113"/>
      <c r="E127" s="113"/>
      <c r="F127" s="97" t="str">
        <f>IF(C127="","",VLOOKUP(C127,'SCORE(1)'!$A$201:$N$420,2,FALSE))</f>
        <v/>
      </c>
      <c r="G127" s="97"/>
      <c r="H127" s="97"/>
      <c r="I127" s="97"/>
      <c r="J127" s="97"/>
      <c r="K127" s="97"/>
      <c r="L127" s="97"/>
      <c r="M127" s="97"/>
      <c r="N127" s="97" t="str">
        <f>IF(C127="","",VLOOKUP(C127,'SCORE(1)'!$A$201:$J$417,8,FALSE))</f>
        <v/>
      </c>
      <c r="O127" s="97"/>
      <c r="P127" s="97"/>
      <c r="Q127" s="97"/>
      <c r="R127" s="97" t="str">
        <f>IF(C127="","",'SCORE(1)'!H113)</f>
        <v/>
      </c>
      <c r="S127" s="97"/>
      <c r="T127" s="97"/>
      <c r="U127" s="97"/>
      <c r="V127" s="97" t="str">
        <f>IF(C127="","",VLOOKUP(C127,'SCORE(1)'!$A$201:$J$417,10,FALSE))</f>
        <v/>
      </c>
      <c r="W127" s="97"/>
      <c r="X127" s="97"/>
      <c r="Y127" s="97"/>
      <c r="Z127" s="97"/>
      <c r="AA127" s="97" t="str">
        <f>IF(C127="","",VLOOKUP(C127,'SCORE(1)'!$A$201:$J$417,7,FALSE))</f>
        <v/>
      </c>
      <c r="AB127" s="97"/>
      <c r="AC127" s="97"/>
      <c r="AD127" s="69"/>
      <c r="AE127" s="69"/>
      <c r="AF127" s="69"/>
      <c r="AG127" s="69"/>
      <c r="AH127" s="69"/>
      <c r="AI127" s="69"/>
      <c r="AJ127" s="69"/>
    </row>
    <row r="128" spans="1:36" x14ac:dyDescent="0.25">
      <c r="A128" s="114">
        <v>104</v>
      </c>
      <c r="B128" s="115"/>
      <c r="C128" s="112"/>
      <c r="D128" s="113"/>
      <c r="E128" s="113"/>
      <c r="F128" s="97" t="str">
        <f>IF(C128="","",VLOOKUP(C128,'SCORE(1)'!$A$201:$N$420,2,FALSE))</f>
        <v/>
      </c>
      <c r="G128" s="97"/>
      <c r="H128" s="97"/>
      <c r="I128" s="97"/>
      <c r="J128" s="97"/>
      <c r="K128" s="97"/>
      <c r="L128" s="97"/>
      <c r="M128" s="97"/>
      <c r="N128" s="97" t="str">
        <f>IF(C128="","",VLOOKUP(C128,'SCORE(1)'!$A$201:$J$417,8,FALSE))</f>
        <v/>
      </c>
      <c r="O128" s="97"/>
      <c r="P128" s="97"/>
      <c r="Q128" s="97"/>
      <c r="R128" s="97" t="str">
        <f>IF(C128="","",'SCORE(1)'!H114)</f>
        <v/>
      </c>
      <c r="S128" s="97"/>
      <c r="T128" s="97"/>
      <c r="U128" s="97"/>
      <c r="V128" s="97" t="str">
        <f>IF(C128="","",VLOOKUP(C128,'SCORE(1)'!$A$201:$J$417,10,FALSE))</f>
        <v/>
      </c>
      <c r="W128" s="97"/>
      <c r="X128" s="97"/>
      <c r="Y128" s="97"/>
      <c r="Z128" s="97"/>
      <c r="AA128" s="97" t="str">
        <f>IF(C128="","",VLOOKUP(C128,'SCORE(1)'!$A$201:$J$417,7,FALSE))</f>
        <v/>
      </c>
      <c r="AB128" s="97"/>
      <c r="AC128" s="97"/>
      <c r="AD128" s="69"/>
      <c r="AE128" s="69"/>
      <c r="AF128" s="69"/>
      <c r="AG128" s="69"/>
      <c r="AH128" s="69"/>
      <c r="AI128" s="69"/>
      <c r="AJ128" s="69"/>
    </row>
    <row r="129" spans="1:36" x14ac:dyDescent="0.25">
      <c r="A129" s="114">
        <v>105</v>
      </c>
      <c r="B129" s="115"/>
      <c r="C129" s="112"/>
      <c r="D129" s="113"/>
      <c r="E129" s="113"/>
      <c r="F129" s="97" t="str">
        <f>IF(C129="","",VLOOKUP(C129,'SCORE(1)'!$A$201:$N$420,2,FALSE))</f>
        <v/>
      </c>
      <c r="G129" s="97"/>
      <c r="H129" s="97"/>
      <c r="I129" s="97"/>
      <c r="J129" s="97"/>
      <c r="K129" s="97"/>
      <c r="L129" s="97"/>
      <c r="M129" s="97"/>
      <c r="N129" s="97" t="str">
        <f>IF(C129="","",VLOOKUP(C129,'SCORE(1)'!$A$201:$J$417,8,FALSE))</f>
        <v/>
      </c>
      <c r="O129" s="97"/>
      <c r="P129" s="97"/>
      <c r="Q129" s="97"/>
      <c r="R129" s="97" t="str">
        <f>IF(C129="","",'SCORE(1)'!H115)</f>
        <v/>
      </c>
      <c r="S129" s="97"/>
      <c r="T129" s="97"/>
      <c r="U129" s="97"/>
      <c r="V129" s="97" t="str">
        <f>IF(C129="","",VLOOKUP(C129,'SCORE(1)'!$A$201:$J$417,10,FALSE))</f>
        <v/>
      </c>
      <c r="W129" s="97"/>
      <c r="X129" s="97"/>
      <c r="Y129" s="97"/>
      <c r="Z129" s="97"/>
      <c r="AA129" s="97" t="str">
        <f>IF(C129="","",VLOOKUP(C129,'SCORE(1)'!$A$201:$J$417,7,FALSE))</f>
        <v/>
      </c>
      <c r="AB129" s="97"/>
      <c r="AC129" s="97"/>
      <c r="AD129" s="69"/>
      <c r="AE129" s="69"/>
      <c r="AF129" s="69"/>
      <c r="AG129" s="69"/>
      <c r="AH129" s="69"/>
      <c r="AI129" s="69"/>
      <c r="AJ129" s="69"/>
    </row>
    <row r="130" spans="1:36" x14ac:dyDescent="0.25">
      <c r="A130" s="114">
        <v>106</v>
      </c>
      <c r="B130" s="115"/>
      <c r="C130" s="112"/>
      <c r="D130" s="113"/>
      <c r="E130" s="113"/>
      <c r="F130" s="97" t="str">
        <f>IF(C130="","",VLOOKUP(C130,'SCORE(1)'!$A$201:$N$420,2,FALSE))</f>
        <v/>
      </c>
      <c r="G130" s="97"/>
      <c r="H130" s="97"/>
      <c r="I130" s="97"/>
      <c r="J130" s="97"/>
      <c r="K130" s="97"/>
      <c r="L130" s="97"/>
      <c r="M130" s="97"/>
      <c r="N130" s="97" t="str">
        <f>IF(C130="","",VLOOKUP(C130,'SCORE(1)'!$A$201:$J$417,8,FALSE))</f>
        <v/>
      </c>
      <c r="O130" s="97"/>
      <c r="P130" s="97"/>
      <c r="Q130" s="97"/>
      <c r="R130" s="97" t="str">
        <f>IF(C130="","",'SCORE(1)'!H116)</f>
        <v/>
      </c>
      <c r="S130" s="97"/>
      <c r="T130" s="97"/>
      <c r="U130" s="97"/>
      <c r="V130" s="97" t="str">
        <f>IF(C130="","",VLOOKUP(C130,'SCORE(1)'!$A$201:$J$417,10,FALSE))</f>
        <v/>
      </c>
      <c r="W130" s="97"/>
      <c r="X130" s="97"/>
      <c r="Y130" s="97"/>
      <c r="Z130" s="97"/>
      <c r="AA130" s="97" t="str">
        <f>IF(C130="","",VLOOKUP(C130,'SCORE(1)'!$A$201:$J$417,7,FALSE))</f>
        <v/>
      </c>
      <c r="AB130" s="97"/>
      <c r="AC130" s="97"/>
      <c r="AD130" s="69"/>
      <c r="AE130" s="69"/>
      <c r="AF130" s="69"/>
      <c r="AG130" s="69"/>
      <c r="AH130" s="69"/>
      <c r="AI130" s="69"/>
      <c r="AJ130" s="69"/>
    </row>
    <row r="131" spans="1:36" x14ac:dyDescent="0.25">
      <c r="A131" s="114">
        <v>107</v>
      </c>
      <c r="B131" s="115"/>
      <c r="C131" s="112"/>
      <c r="D131" s="113"/>
      <c r="E131" s="113"/>
      <c r="F131" s="97" t="str">
        <f>IF(C131="","",VLOOKUP(C131,'SCORE(1)'!$A$201:$N$420,2,FALSE))</f>
        <v/>
      </c>
      <c r="G131" s="97"/>
      <c r="H131" s="97"/>
      <c r="I131" s="97"/>
      <c r="J131" s="97"/>
      <c r="K131" s="97"/>
      <c r="L131" s="97"/>
      <c r="M131" s="97"/>
      <c r="N131" s="97" t="str">
        <f>IF(C131="","",VLOOKUP(C131,'SCORE(1)'!$A$201:$J$417,8,FALSE))</f>
        <v/>
      </c>
      <c r="O131" s="97"/>
      <c r="P131" s="97"/>
      <c r="Q131" s="97"/>
      <c r="R131" s="97" t="str">
        <f>IF(C131="","",'SCORE(1)'!H117)</f>
        <v/>
      </c>
      <c r="S131" s="97"/>
      <c r="T131" s="97"/>
      <c r="U131" s="97"/>
      <c r="V131" s="97" t="str">
        <f>IF(C131="","",VLOOKUP(C131,'SCORE(1)'!$A$201:$J$417,10,FALSE))</f>
        <v/>
      </c>
      <c r="W131" s="97"/>
      <c r="X131" s="97"/>
      <c r="Y131" s="97"/>
      <c r="Z131" s="97"/>
      <c r="AA131" s="97" t="str">
        <f>IF(C131="","",VLOOKUP(C131,'SCORE(1)'!$A$201:$J$417,7,FALSE))</f>
        <v/>
      </c>
      <c r="AB131" s="97"/>
      <c r="AC131" s="97"/>
      <c r="AD131" s="69"/>
      <c r="AE131" s="69"/>
      <c r="AF131" s="69"/>
      <c r="AG131" s="69"/>
      <c r="AH131" s="69"/>
      <c r="AI131" s="69"/>
      <c r="AJ131" s="69"/>
    </row>
    <row r="132" spans="1:36" x14ac:dyDescent="0.25">
      <c r="A132" s="114">
        <v>108</v>
      </c>
      <c r="B132" s="115"/>
      <c r="C132" s="112"/>
      <c r="D132" s="113"/>
      <c r="E132" s="113"/>
      <c r="F132" s="97" t="str">
        <f>IF(C132="","",VLOOKUP(C132,'SCORE(1)'!$A$201:$N$420,2,FALSE))</f>
        <v/>
      </c>
      <c r="G132" s="97"/>
      <c r="H132" s="97"/>
      <c r="I132" s="97"/>
      <c r="J132" s="97"/>
      <c r="K132" s="97"/>
      <c r="L132" s="97"/>
      <c r="M132" s="97"/>
      <c r="N132" s="97" t="str">
        <f>IF(C132="","",VLOOKUP(C132,'SCORE(1)'!$A$201:$J$417,8,FALSE))</f>
        <v/>
      </c>
      <c r="O132" s="97"/>
      <c r="P132" s="97"/>
      <c r="Q132" s="97"/>
      <c r="R132" s="97" t="str">
        <f>IF(C132="","",'SCORE(1)'!H118)</f>
        <v/>
      </c>
      <c r="S132" s="97"/>
      <c r="T132" s="97"/>
      <c r="U132" s="97"/>
      <c r="V132" s="97" t="str">
        <f>IF(C132="","",VLOOKUP(C132,'SCORE(1)'!$A$201:$J$417,10,FALSE))</f>
        <v/>
      </c>
      <c r="W132" s="97"/>
      <c r="X132" s="97"/>
      <c r="Y132" s="97"/>
      <c r="Z132" s="97"/>
      <c r="AA132" s="97" t="str">
        <f>IF(C132="","",VLOOKUP(C132,'SCORE(1)'!$A$201:$J$417,7,FALSE))</f>
        <v/>
      </c>
      <c r="AB132" s="97"/>
      <c r="AC132" s="97"/>
      <c r="AD132" s="69"/>
      <c r="AE132" s="69"/>
      <c r="AF132" s="69"/>
      <c r="AG132" s="69"/>
      <c r="AH132" s="69"/>
      <c r="AI132" s="69"/>
      <c r="AJ132" s="69"/>
    </row>
    <row r="133" spans="1:36" x14ac:dyDescent="0.25">
      <c r="A133" s="114">
        <v>109</v>
      </c>
      <c r="B133" s="115"/>
      <c r="C133" s="112"/>
      <c r="D133" s="113"/>
      <c r="E133" s="113"/>
      <c r="F133" s="97" t="str">
        <f>IF(C133="","",VLOOKUP(C133,'SCORE(1)'!$A$201:$N$420,2,FALSE))</f>
        <v/>
      </c>
      <c r="G133" s="97"/>
      <c r="H133" s="97"/>
      <c r="I133" s="97"/>
      <c r="J133" s="97"/>
      <c r="K133" s="97"/>
      <c r="L133" s="97"/>
      <c r="M133" s="97"/>
      <c r="N133" s="97" t="str">
        <f>IF(C133="","",VLOOKUP(C133,'SCORE(1)'!$A$201:$J$417,8,FALSE))</f>
        <v/>
      </c>
      <c r="O133" s="97"/>
      <c r="P133" s="97"/>
      <c r="Q133" s="97"/>
      <c r="R133" s="97" t="str">
        <f>IF(C133="","",'SCORE(1)'!H119)</f>
        <v/>
      </c>
      <c r="S133" s="97"/>
      <c r="T133" s="97"/>
      <c r="U133" s="97"/>
      <c r="V133" s="97" t="str">
        <f>IF(C133="","",VLOOKUP(C133,'SCORE(1)'!$A$201:$J$417,10,FALSE))</f>
        <v/>
      </c>
      <c r="W133" s="97"/>
      <c r="X133" s="97"/>
      <c r="Y133" s="97"/>
      <c r="Z133" s="97"/>
      <c r="AA133" s="97" t="str">
        <f>IF(C133="","",VLOOKUP(C133,'SCORE(1)'!$A$201:$J$417,7,FALSE))</f>
        <v/>
      </c>
      <c r="AB133" s="97"/>
      <c r="AC133" s="97"/>
      <c r="AD133" s="69"/>
      <c r="AE133" s="69"/>
      <c r="AF133" s="69"/>
      <c r="AG133" s="69"/>
      <c r="AH133" s="69"/>
      <c r="AI133" s="69"/>
      <c r="AJ133" s="69"/>
    </row>
    <row r="134" spans="1:36" x14ac:dyDescent="0.25">
      <c r="A134" s="114">
        <v>110</v>
      </c>
      <c r="B134" s="115"/>
      <c r="C134" s="112"/>
      <c r="D134" s="113"/>
      <c r="E134" s="113"/>
      <c r="F134" s="97" t="str">
        <f>IF(C134="","",VLOOKUP(C134,'SCORE(1)'!$A$201:$N$420,2,FALSE))</f>
        <v/>
      </c>
      <c r="G134" s="97"/>
      <c r="H134" s="97"/>
      <c r="I134" s="97"/>
      <c r="J134" s="97"/>
      <c r="K134" s="97"/>
      <c r="L134" s="97"/>
      <c r="M134" s="97"/>
      <c r="N134" s="97" t="str">
        <f>IF(C134="","",VLOOKUP(C134,'SCORE(1)'!$A$201:$J$417,8,FALSE))</f>
        <v/>
      </c>
      <c r="O134" s="97"/>
      <c r="P134" s="97"/>
      <c r="Q134" s="97"/>
      <c r="R134" s="97" t="str">
        <f>IF(C134="","",'SCORE(1)'!H120)</f>
        <v/>
      </c>
      <c r="S134" s="97"/>
      <c r="T134" s="97"/>
      <c r="U134" s="97"/>
      <c r="V134" s="97" t="str">
        <f>IF(C134="","",VLOOKUP(C134,'SCORE(1)'!$A$201:$J$417,10,FALSE))</f>
        <v/>
      </c>
      <c r="W134" s="97"/>
      <c r="X134" s="97"/>
      <c r="Y134" s="97"/>
      <c r="Z134" s="97"/>
      <c r="AA134" s="97" t="str">
        <f>IF(C134="","",VLOOKUP(C134,'SCORE(1)'!$A$201:$J$417,7,FALSE))</f>
        <v/>
      </c>
      <c r="AB134" s="97"/>
      <c r="AC134" s="97"/>
      <c r="AD134" s="69"/>
      <c r="AE134" s="69"/>
      <c r="AF134" s="69"/>
      <c r="AG134" s="69"/>
      <c r="AH134" s="69"/>
      <c r="AI134" s="69"/>
      <c r="AJ134" s="69"/>
    </row>
    <row r="135" spans="1:36" x14ac:dyDescent="0.25">
      <c r="A135" s="114">
        <v>111</v>
      </c>
      <c r="B135" s="115"/>
      <c r="C135" s="112"/>
      <c r="D135" s="113"/>
      <c r="E135" s="113"/>
      <c r="F135" s="97" t="str">
        <f>IF(C135="","",VLOOKUP(C135,'SCORE(1)'!$A$201:$N$420,2,FALSE))</f>
        <v/>
      </c>
      <c r="G135" s="97"/>
      <c r="H135" s="97"/>
      <c r="I135" s="97"/>
      <c r="J135" s="97"/>
      <c r="K135" s="97"/>
      <c r="L135" s="97"/>
      <c r="M135" s="97"/>
      <c r="N135" s="97" t="str">
        <f>IF(C135="","",VLOOKUP(C135,'SCORE(1)'!$A$201:$J$417,8,FALSE))</f>
        <v/>
      </c>
      <c r="O135" s="97"/>
      <c r="P135" s="97"/>
      <c r="Q135" s="97"/>
      <c r="R135" s="97" t="str">
        <f>IF(C135="","",'SCORE(1)'!H121)</f>
        <v/>
      </c>
      <c r="S135" s="97"/>
      <c r="T135" s="97"/>
      <c r="U135" s="97"/>
      <c r="V135" s="97" t="str">
        <f>IF(C135="","",VLOOKUP(C135,'SCORE(1)'!$A$201:$J$417,10,FALSE))</f>
        <v/>
      </c>
      <c r="W135" s="97"/>
      <c r="X135" s="97"/>
      <c r="Y135" s="97"/>
      <c r="Z135" s="97"/>
      <c r="AA135" s="97" t="str">
        <f>IF(C135="","",VLOOKUP(C135,'SCORE(1)'!$A$201:$J$417,7,FALSE))</f>
        <v/>
      </c>
      <c r="AB135" s="97"/>
      <c r="AC135" s="97"/>
      <c r="AD135" s="69"/>
      <c r="AE135" s="69"/>
      <c r="AF135" s="69"/>
      <c r="AG135" s="69"/>
      <c r="AH135" s="69"/>
      <c r="AI135" s="69"/>
      <c r="AJ135" s="69"/>
    </row>
    <row r="136" spans="1:36" x14ac:dyDescent="0.25">
      <c r="A136" s="114">
        <v>112</v>
      </c>
      <c r="B136" s="115"/>
      <c r="C136" s="112"/>
      <c r="D136" s="113"/>
      <c r="E136" s="113"/>
      <c r="F136" s="97" t="str">
        <f>IF(C136="","",VLOOKUP(C136,'SCORE(1)'!$A$201:$N$420,2,FALSE))</f>
        <v/>
      </c>
      <c r="G136" s="97"/>
      <c r="H136" s="97"/>
      <c r="I136" s="97"/>
      <c r="J136" s="97"/>
      <c r="K136" s="97"/>
      <c r="L136" s="97"/>
      <c r="M136" s="97"/>
      <c r="N136" s="97" t="str">
        <f>IF(C136="","",VLOOKUP(C136,'SCORE(1)'!$A$201:$J$417,8,FALSE))</f>
        <v/>
      </c>
      <c r="O136" s="97"/>
      <c r="P136" s="97"/>
      <c r="Q136" s="97"/>
      <c r="R136" s="97" t="str">
        <f>IF(C136="","",'SCORE(1)'!H122)</f>
        <v/>
      </c>
      <c r="S136" s="97"/>
      <c r="T136" s="97"/>
      <c r="U136" s="97"/>
      <c r="V136" s="97" t="str">
        <f>IF(C136="","",VLOOKUP(C136,'SCORE(1)'!$A$201:$J$417,10,FALSE))</f>
        <v/>
      </c>
      <c r="W136" s="97"/>
      <c r="X136" s="97"/>
      <c r="Y136" s="97"/>
      <c r="Z136" s="97"/>
      <c r="AA136" s="97" t="str">
        <f>IF(C136="","",VLOOKUP(C136,'SCORE(1)'!$A$201:$J$417,7,FALSE))</f>
        <v/>
      </c>
      <c r="AB136" s="97"/>
      <c r="AC136" s="97"/>
      <c r="AD136" s="69"/>
      <c r="AE136" s="69"/>
      <c r="AF136" s="69"/>
      <c r="AG136" s="69"/>
      <c r="AH136" s="69"/>
      <c r="AI136" s="69"/>
      <c r="AJ136" s="69"/>
    </row>
    <row r="137" spans="1:36" x14ac:dyDescent="0.25">
      <c r="A137" s="114">
        <v>113</v>
      </c>
      <c r="B137" s="115"/>
      <c r="C137" s="112"/>
      <c r="D137" s="113"/>
      <c r="E137" s="113"/>
      <c r="F137" s="97" t="str">
        <f>IF(C137="","",VLOOKUP(C137,'SCORE(1)'!$A$201:$N$420,2,FALSE))</f>
        <v/>
      </c>
      <c r="G137" s="97"/>
      <c r="H137" s="97"/>
      <c r="I137" s="97"/>
      <c r="J137" s="97"/>
      <c r="K137" s="97"/>
      <c r="L137" s="97"/>
      <c r="M137" s="97"/>
      <c r="N137" s="97" t="str">
        <f>IF(C137="","",VLOOKUP(C137,'SCORE(1)'!$A$201:$J$417,8,FALSE))</f>
        <v/>
      </c>
      <c r="O137" s="97"/>
      <c r="P137" s="97"/>
      <c r="Q137" s="97"/>
      <c r="R137" s="97" t="str">
        <f>IF(C137="","",'SCORE(1)'!H123)</f>
        <v/>
      </c>
      <c r="S137" s="97"/>
      <c r="T137" s="97"/>
      <c r="U137" s="97"/>
      <c r="V137" s="97" t="str">
        <f>IF(C137="","",VLOOKUP(C137,'SCORE(1)'!$A$201:$J$417,10,FALSE))</f>
        <v/>
      </c>
      <c r="W137" s="97"/>
      <c r="X137" s="97"/>
      <c r="Y137" s="97"/>
      <c r="Z137" s="97"/>
      <c r="AA137" s="97" t="str">
        <f>IF(C137="","",VLOOKUP(C137,'SCORE(1)'!$A$201:$J$417,7,FALSE))</f>
        <v/>
      </c>
      <c r="AB137" s="97"/>
      <c r="AC137" s="97"/>
      <c r="AD137" s="69"/>
      <c r="AE137" s="69"/>
      <c r="AF137" s="69"/>
      <c r="AG137" s="69"/>
      <c r="AH137" s="69"/>
      <c r="AI137" s="69"/>
      <c r="AJ137" s="69"/>
    </row>
    <row r="138" spans="1:36" x14ac:dyDescent="0.25">
      <c r="A138" s="114">
        <v>114</v>
      </c>
      <c r="B138" s="115"/>
      <c r="C138" s="112"/>
      <c r="D138" s="113"/>
      <c r="E138" s="113"/>
      <c r="F138" s="97" t="str">
        <f>IF(C138="","",VLOOKUP(C138,'SCORE(1)'!$A$201:$N$420,2,FALSE))</f>
        <v/>
      </c>
      <c r="G138" s="97"/>
      <c r="H138" s="97"/>
      <c r="I138" s="97"/>
      <c r="J138" s="97"/>
      <c r="K138" s="97"/>
      <c r="L138" s="97"/>
      <c r="M138" s="97"/>
      <c r="N138" s="97" t="str">
        <f>IF(C138="","",VLOOKUP(C138,'SCORE(1)'!$A$201:$J$417,8,FALSE))</f>
        <v/>
      </c>
      <c r="O138" s="97"/>
      <c r="P138" s="97"/>
      <c r="Q138" s="97"/>
      <c r="R138" s="97" t="str">
        <f>IF(C138="","",'SCORE(1)'!H124)</f>
        <v/>
      </c>
      <c r="S138" s="97"/>
      <c r="T138" s="97"/>
      <c r="U138" s="97"/>
      <c r="V138" s="97" t="str">
        <f>IF(C138="","",VLOOKUP(C138,'SCORE(1)'!$A$201:$J$417,10,FALSE))</f>
        <v/>
      </c>
      <c r="W138" s="97"/>
      <c r="X138" s="97"/>
      <c r="Y138" s="97"/>
      <c r="Z138" s="97"/>
      <c r="AA138" s="97" t="str">
        <f>IF(C138="","",VLOOKUP(C138,'SCORE(1)'!$A$201:$J$417,7,FALSE))</f>
        <v/>
      </c>
      <c r="AB138" s="97"/>
      <c r="AC138" s="97"/>
      <c r="AD138" s="69"/>
      <c r="AE138" s="69"/>
      <c r="AF138" s="69"/>
      <c r="AG138" s="69"/>
      <c r="AH138" s="69"/>
      <c r="AI138" s="69"/>
      <c r="AJ138" s="69"/>
    </row>
    <row r="139" spans="1:36" ht="15.75" thickBot="1" x14ac:dyDescent="0.3">
      <c r="A139" s="110">
        <v>115</v>
      </c>
      <c r="B139" s="111"/>
      <c r="C139" s="112"/>
      <c r="D139" s="113"/>
      <c r="E139" s="113"/>
      <c r="F139" s="97" t="str">
        <f>IF(C139="","",VLOOKUP(C139,'SCORE(1)'!$A$201:$N$420,2,FALSE))</f>
        <v/>
      </c>
      <c r="G139" s="97"/>
      <c r="H139" s="97"/>
      <c r="I139" s="97"/>
      <c r="J139" s="97"/>
      <c r="K139" s="97"/>
      <c r="L139" s="97"/>
      <c r="M139" s="97"/>
      <c r="N139" s="97" t="str">
        <f>IF(C139="","",VLOOKUP(C139,'SCORE(1)'!$A$201:$J$417,8,FALSE))</f>
        <v/>
      </c>
      <c r="O139" s="97"/>
      <c r="P139" s="97"/>
      <c r="Q139" s="97"/>
      <c r="R139" s="97" t="str">
        <f>IF(C139="","",'SCORE(1)'!H125)</f>
        <v/>
      </c>
      <c r="S139" s="97"/>
      <c r="T139" s="97"/>
      <c r="U139" s="97"/>
      <c r="V139" s="97" t="str">
        <f>IF(C139="","",VLOOKUP(C139,'SCORE(1)'!$A$201:$J$417,10,FALSE))</f>
        <v/>
      </c>
      <c r="W139" s="97"/>
      <c r="X139" s="97"/>
      <c r="Y139" s="97"/>
      <c r="Z139" s="97"/>
      <c r="AA139" s="97" t="str">
        <f>IF(C139="","",VLOOKUP(C139,'SCORE(1)'!$A$201:$J$417,7,FALSE))</f>
        <v/>
      </c>
      <c r="AB139" s="97"/>
      <c r="AC139" s="97"/>
      <c r="AD139" s="69"/>
      <c r="AE139" s="69"/>
      <c r="AF139" s="69"/>
      <c r="AG139" s="69"/>
      <c r="AH139" s="69"/>
      <c r="AI139" s="69"/>
      <c r="AJ139" s="69"/>
    </row>
    <row r="140" spans="1:36" x14ac:dyDescent="0.25">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c r="AH140" s="69"/>
      <c r="AI140" s="69"/>
      <c r="AJ140" s="69"/>
    </row>
  </sheetData>
  <sheetProtection algorithmName="SHA-512" hashValue="38agx2TC8BpmlWQ6/ac6Uh29ef366YFAVY6BeZkWbcaIgRXby2NXcVQcisgxy5HzfIptlzEc+wzIkZmmDUXDhw==" saltValue="FehiqpgvrImtUN8SzZbgQA==" spinCount="100000" sheet="1" objects="1" scenarios="1" selectLockedCells="1"/>
  <mergeCells count="929">
    <mergeCell ref="A1:D2"/>
    <mergeCell ref="E1:G2"/>
    <mergeCell ref="J1:M2"/>
    <mergeCell ref="N1:P2"/>
    <mergeCell ref="R1:U1"/>
    <mergeCell ref="R2:U3"/>
    <mergeCell ref="J3:M4"/>
    <mergeCell ref="N3:P4"/>
    <mergeCell ref="A4:C4"/>
    <mergeCell ref="D4:E4"/>
    <mergeCell ref="R4:U4"/>
    <mergeCell ref="A5:C5"/>
    <mergeCell ref="D5:E5"/>
    <mergeCell ref="F5:H5"/>
    <mergeCell ref="J5:M6"/>
    <mergeCell ref="N5:P6"/>
    <mergeCell ref="R5:U6"/>
    <mergeCell ref="A6:C6"/>
    <mergeCell ref="D6:E6"/>
    <mergeCell ref="F6:H6"/>
    <mergeCell ref="X10:AC12"/>
    <mergeCell ref="A11:C11"/>
    <mergeCell ref="D11:F11"/>
    <mergeCell ref="G11:H11"/>
    <mergeCell ref="R11:U12"/>
    <mergeCell ref="D12:F12"/>
    <mergeCell ref="G12:H12"/>
    <mergeCell ref="X8:AC9"/>
    <mergeCell ref="A9:C9"/>
    <mergeCell ref="D9:F9"/>
    <mergeCell ref="G9:H9"/>
    <mergeCell ref="J9:M10"/>
    <mergeCell ref="N9:P10"/>
    <mergeCell ref="A10:C10"/>
    <mergeCell ref="D10:F10"/>
    <mergeCell ref="G10:H10"/>
    <mergeCell ref="R10:U10"/>
    <mergeCell ref="J7:M8"/>
    <mergeCell ref="N7:P8"/>
    <mergeCell ref="R7:U7"/>
    <mergeCell ref="A8:C8"/>
    <mergeCell ref="D8:F8"/>
    <mergeCell ref="G8:H8"/>
    <mergeCell ref="R8:U9"/>
    <mergeCell ref="AG14:AI14"/>
    <mergeCell ref="A15:D15"/>
    <mergeCell ref="E15:H15"/>
    <mergeCell ref="I15:K15"/>
    <mergeCell ref="M15:P15"/>
    <mergeCell ref="Q15:T15"/>
    <mergeCell ref="U15:W15"/>
    <mergeCell ref="Y15:AB15"/>
    <mergeCell ref="A14:D14"/>
    <mergeCell ref="E14:H14"/>
    <mergeCell ref="I14:K14"/>
    <mergeCell ref="M14:P14"/>
    <mergeCell ref="Q14:T14"/>
    <mergeCell ref="U14:W14"/>
    <mergeCell ref="AC15:AF15"/>
    <mergeCell ref="AG15:AI15"/>
    <mergeCell ref="A18:D18"/>
    <mergeCell ref="E18:H18"/>
    <mergeCell ref="I18:K18"/>
    <mergeCell ref="M18:P18"/>
    <mergeCell ref="Q18:T18"/>
    <mergeCell ref="U18:W18"/>
    <mergeCell ref="Y18:AB18"/>
    <mergeCell ref="AC18:AF18"/>
    <mergeCell ref="Y14:AB14"/>
    <mergeCell ref="AC14:AF14"/>
    <mergeCell ref="AG16:AI16"/>
    <mergeCell ref="A17:D17"/>
    <mergeCell ref="E17:H17"/>
    <mergeCell ref="I17:K17"/>
    <mergeCell ref="M17:P17"/>
    <mergeCell ref="Q17:T17"/>
    <mergeCell ref="U17:W17"/>
    <mergeCell ref="Y17:AB17"/>
    <mergeCell ref="AC17:AF17"/>
    <mergeCell ref="AG17:AI17"/>
    <mergeCell ref="A16:D16"/>
    <mergeCell ref="E16:H16"/>
    <mergeCell ref="I16:K16"/>
    <mergeCell ref="M16:P16"/>
    <mergeCell ref="Q16:T16"/>
    <mergeCell ref="U16:W16"/>
    <mergeCell ref="Y16:AB16"/>
    <mergeCell ref="AC16:AF16"/>
    <mergeCell ref="AG18:AI18"/>
    <mergeCell ref="M19:P19"/>
    <mergeCell ref="Q19:T19"/>
    <mergeCell ref="U19:W19"/>
    <mergeCell ref="Y19:AB19"/>
    <mergeCell ref="AC19:AF19"/>
    <mergeCell ref="AG19:AI19"/>
    <mergeCell ref="M21:P21"/>
    <mergeCell ref="Q21:T21"/>
    <mergeCell ref="U21:W21"/>
    <mergeCell ref="Y21:AB21"/>
    <mergeCell ref="AC21:AF21"/>
    <mergeCell ref="AG21:AI21"/>
    <mergeCell ref="M20:P20"/>
    <mergeCell ref="Q20:T20"/>
    <mergeCell ref="U20:W20"/>
    <mergeCell ref="Y20:AB20"/>
    <mergeCell ref="AC20:AF20"/>
    <mergeCell ref="AG20:AI20"/>
    <mergeCell ref="Y22:AB22"/>
    <mergeCell ref="AC22:AF22"/>
    <mergeCell ref="AG22:AI22"/>
    <mergeCell ref="A24:B24"/>
    <mergeCell ref="C24:E24"/>
    <mergeCell ref="F24:M24"/>
    <mergeCell ref="N24:Q24"/>
    <mergeCell ref="R24:U24"/>
    <mergeCell ref="V24:Z24"/>
    <mergeCell ref="AA24:AC24"/>
    <mergeCell ref="AA25:AC25"/>
    <mergeCell ref="A26:B26"/>
    <mergeCell ref="C26:E26"/>
    <mergeCell ref="F26:M26"/>
    <mergeCell ref="N26:Q26"/>
    <mergeCell ref="R26:U26"/>
    <mergeCell ref="V26:Z26"/>
    <mergeCell ref="AA26:AC26"/>
    <mergeCell ref="A25:B25"/>
    <mergeCell ref="C25:E25"/>
    <mergeCell ref="F25:M25"/>
    <mergeCell ref="N25:Q25"/>
    <mergeCell ref="R25:U25"/>
    <mergeCell ref="V25:Z25"/>
    <mergeCell ref="AA27:AC27"/>
    <mergeCell ref="A28:B28"/>
    <mergeCell ref="C28:E28"/>
    <mergeCell ref="F28:M28"/>
    <mergeCell ref="N28:Q28"/>
    <mergeCell ref="R28:U28"/>
    <mergeCell ref="V28:Z28"/>
    <mergeCell ref="AA28:AC28"/>
    <mergeCell ref="A27:B27"/>
    <mergeCell ref="C27:E27"/>
    <mergeCell ref="F27:M27"/>
    <mergeCell ref="N27:Q27"/>
    <mergeCell ref="R27:U27"/>
    <mergeCell ref="V27:Z27"/>
    <mergeCell ref="AA29:AC29"/>
    <mergeCell ref="A30:B30"/>
    <mergeCell ref="C30:E30"/>
    <mergeCell ref="F30:M30"/>
    <mergeCell ref="N30:Q30"/>
    <mergeCell ref="R30:U30"/>
    <mergeCell ref="V30:Z30"/>
    <mergeCell ref="AA30:AC30"/>
    <mergeCell ref="A29:B29"/>
    <mergeCell ref="C29:E29"/>
    <mergeCell ref="F29:M29"/>
    <mergeCell ref="N29:Q29"/>
    <mergeCell ref="R29:U29"/>
    <mergeCell ref="V29:Z29"/>
    <mergeCell ref="AA31:AC31"/>
    <mergeCell ref="A32:B32"/>
    <mergeCell ref="C32:E32"/>
    <mergeCell ref="F32:M32"/>
    <mergeCell ref="N32:Q32"/>
    <mergeCell ref="R32:U32"/>
    <mergeCell ref="V32:Z32"/>
    <mergeCell ref="AA32:AC32"/>
    <mergeCell ref="A31:B31"/>
    <mergeCell ref="C31:E31"/>
    <mergeCell ref="F31:M31"/>
    <mergeCell ref="N31:Q31"/>
    <mergeCell ref="R31:U31"/>
    <mergeCell ref="V31:Z31"/>
    <mergeCell ref="AA33:AC33"/>
    <mergeCell ref="A34:B34"/>
    <mergeCell ref="C34:E34"/>
    <mergeCell ref="F34:M34"/>
    <mergeCell ref="N34:Q34"/>
    <mergeCell ref="R34:U34"/>
    <mergeCell ref="V34:Z34"/>
    <mergeCell ref="AA34:AC34"/>
    <mergeCell ref="A33:B33"/>
    <mergeCell ref="C33:E33"/>
    <mergeCell ref="F33:M33"/>
    <mergeCell ref="N33:Q33"/>
    <mergeCell ref="R33:U33"/>
    <mergeCell ref="V33:Z33"/>
    <mergeCell ref="AA35:AC35"/>
    <mergeCell ref="A36:B36"/>
    <mergeCell ref="C36:E36"/>
    <mergeCell ref="F36:M36"/>
    <mergeCell ref="N36:Q36"/>
    <mergeCell ref="R36:U36"/>
    <mergeCell ref="V36:Z36"/>
    <mergeCell ref="AA36:AC36"/>
    <mergeCell ref="A35:B35"/>
    <mergeCell ref="C35:E35"/>
    <mergeCell ref="F35:M35"/>
    <mergeCell ref="N35:Q35"/>
    <mergeCell ref="R35:U35"/>
    <mergeCell ref="V35:Z35"/>
    <mergeCell ref="AA37:AC37"/>
    <mergeCell ref="A38:B38"/>
    <mergeCell ref="C38:E38"/>
    <mergeCell ref="F38:M38"/>
    <mergeCell ref="N38:Q38"/>
    <mergeCell ref="R38:U38"/>
    <mergeCell ref="V38:Z38"/>
    <mergeCell ref="AA38:AC38"/>
    <mergeCell ref="A37:B37"/>
    <mergeCell ref="C37:E37"/>
    <mergeCell ref="F37:M37"/>
    <mergeCell ref="N37:Q37"/>
    <mergeCell ref="R37:U37"/>
    <mergeCell ref="V37:Z37"/>
    <mergeCell ref="AA39:AC39"/>
    <mergeCell ref="A40:B40"/>
    <mergeCell ref="C40:E40"/>
    <mergeCell ref="F40:M40"/>
    <mergeCell ref="N40:Q40"/>
    <mergeCell ref="R40:U40"/>
    <mergeCell ref="V40:Z40"/>
    <mergeCell ref="AA40:AC40"/>
    <mergeCell ref="A39:B39"/>
    <mergeCell ref="C39:E39"/>
    <mergeCell ref="F39:M39"/>
    <mergeCell ref="N39:Q39"/>
    <mergeCell ref="R39:U39"/>
    <mergeCell ref="V39:Z39"/>
    <mergeCell ref="AA41:AC41"/>
    <mergeCell ref="A42:B42"/>
    <mergeCell ref="C42:E42"/>
    <mergeCell ref="F42:M42"/>
    <mergeCell ref="N42:Q42"/>
    <mergeCell ref="R42:U42"/>
    <mergeCell ref="V42:Z42"/>
    <mergeCell ref="AA42:AC42"/>
    <mergeCell ref="A41:B41"/>
    <mergeCell ref="C41:E41"/>
    <mergeCell ref="F41:M41"/>
    <mergeCell ref="N41:Q41"/>
    <mergeCell ref="R41:U41"/>
    <mergeCell ref="V41:Z41"/>
    <mergeCell ref="AA43:AC43"/>
    <mergeCell ref="A44:B44"/>
    <mergeCell ref="C44:E44"/>
    <mergeCell ref="F44:M44"/>
    <mergeCell ref="N44:Q44"/>
    <mergeCell ref="R44:U44"/>
    <mergeCell ref="V44:Z44"/>
    <mergeCell ref="AA44:AC44"/>
    <mergeCell ref="A43:B43"/>
    <mergeCell ref="C43:E43"/>
    <mergeCell ref="F43:M43"/>
    <mergeCell ref="N43:Q43"/>
    <mergeCell ref="R43:U43"/>
    <mergeCell ref="V43:Z43"/>
    <mergeCell ref="AA45:AC45"/>
    <mergeCell ref="A46:B46"/>
    <mergeCell ref="C46:E46"/>
    <mergeCell ref="F46:M46"/>
    <mergeCell ref="N46:Q46"/>
    <mergeCell ref="R46:U46"/>
    <mergeCell ref="V46:Z46"/>
    <mergeCell ref="AA46:AC46"/>
    <mergeCell ref="A45:B45"/>
    <mergeCell ref="C45:E45"/>
    <mergeCell ref="F45:M45"/>
    <mergeCell ref="N45:Q45"/>
    <mergeCell ref="R45:U45"/>
    <mergeCell ref="V45:Z45"/>
    <mergeCell ref="AA47:AC47"/>
    <mergeCell ref="A48:B48"/>
    <mergeCell ref="C48:E48"/>
    <mergeCell ref="F48:M48"/>
    <mergeCell ref="N48:Q48"/>
    <mergeCell ref="R48:U48"/>
    <mergeCell ref="V48:Z48"/>
    <mergeCell ref="AA48:AC48"/>
    <mergeCell ref="A47:B47"/>
    <mergeCell ref="C47:E47"/>
    <mergeCell ref="F47:M47"/>
    <mergeCell ref="N47:Q47"/>
    <mergeCell ref="R47:U47"/>
    <mergeCell ref="V47:Z47"/>
    <mergeCell ref="AA49:AC49"/>
    <mergeCell ref="A50:B50"/>
    <mergeCell ref="C50:E50"/>
    <mergeCell ref="F50:M50"/>
    <mergeCell ref="N50:Q50"/>
    <mergeCell ref="R50:U50"/>
    <mergeCell ref="V50:Z50"/>
    <mergeCell ref="AA50:AC50"/>
    <mergeCell ref="A49:B49"/>
    <mergeCell ref="C49:E49"/>
    <mergeCell ref="F49:M49"/>
    <mergeCell ref="N49:Q49"/>
    <mergeCell ref="R49:U49"/>
    <mergeCell ref="V49:Z49"/>
    <mergeCell ref="AA51:AC51"/>
    <mergeCell ref="A52:B52"/>
    <mergeCell ref="C52:E52"/>
    <mergeCell ref="F52:M52"/>
    <mergeCell ref="N52:Q52"/>
    <mergeCell ref="R52:U52"/>
    <mergeCell ref="V52:Z52"/>
    <mergeCell ref="AA52:AC52"/>
    <mergeCell ref="A51:B51"/>
    <mergeCell ref="C51:E51"/>
    <mergeCell ref="F51:M51"/>
    <mergeCell ref="N51:Q51"/>
    <mergeCell ref="R51:U51"/>
    <mergeCell ref="V51:Z51"/>
    <mergeCell ref="AA53:AC53"/>
    <mergeCell ref="A54:B54"/>
    <mergeCell ref="C54:E54"/>
    <mergeCell ref="F54:M54"/>
    <mergeCell ref="N54:Q54"/>
    <mergeCell ref="R54:U54"/>
    <mergeCell ref="V54:Z54"/>
    <mergeCell ref="AA54:AC54"/>
    <mergeCell ref="A53:B53"/>
    <mergeCell ref="C53:E53"/>
    <mergeCell ref="F53:M53"/>
    <mergeCell ref="N53:Q53"/>
    <mergeCell ref="R53:U53"/>
    <mergeCell ref="V53:Z53"/>
    <mergeCell ref="AA55:AC55"/>
    <mergeCell ref="A56:B56"/>
    <mergeCell ref="C56:E56"/>
    <mergeCell ref="F56:M56"/>
    <mergeCell ref="N56:Q56"/>
    <mergeCell ref="R56:U56"/>
    <mergeCell ref="V56:Z56"/>
    <mergeCell ref="AA56:AC56"/>
    <mergeCell ref="A55:B55"/>
    <mergeCell ref="C55:E55"/>
    <mergeCell ref="F55:M55"/>
    <mergeCell ref="N55:Q55"/>
    <mergeCell ref="R55:U55"/>
    <mergeCell ref="V55:Z55"/>
    <mergeCell ref="AA57:AC57"/>
    <mergeCell ref="A58:B58"/>
    <mergeCell ref="C58:E58"/>
    <mergeCell ref="F58:M58"/>
    <mergeCell ref="N58:Q58"/>
    <mergeCell ref="R58:U58"/>
    <mergeCell ref="V58:Z58"/>
    <mergeCell ref="AA58:AC58"/>
    <mergeCell ref="A57:B57"/>
    <mergeCell ref="C57:E57"/>
    <mergeCell ref="F57:M57"/>
    <mergeCell ref="N57:Q57"/>
    <mergeCell ref="R57:U57"/>
    <mergeCell ref="V57:Z57"/>
    <mergeCell ref="AA59:AC59"/>
    <mergeCell ref="A60:B60"/>
    <mergeCell ref="C60:E60"/>
    <mergeCell ref="F60:M60"/>
    <mergeCell ref="N60:Q60"/>
    <mergeCell ref="R60:U60"/>
    <mergeCell ref="V60:Z60"/>
    <mergeCell ref="AA60:AC60"/>
    <mergeCell ref="A59:B59"/>
    <mergeCell ref="C59:E59"/>
    <mergeCell ref="F59:M59"/>
    <mergeCell ref="N59:Q59"/>
    <mergeCell ref="R59:U59"/>
    <mergeCell ref="V59:Z59"/>
    <mergeCell ref="AA61:AC61"/>
    <mergeCell ref="A62:B62"/>
    <mergeCell ref="C62:E62"/>
    <mergeCell ref="F62:M62"/>
    <mergeCell ref="N62:Q62"/>
    <mergeCell ref="R62:U62"/>
    <mergeCell ref="V62:Z62"/>
    <mergeCell ref="AA62:AC62"/>
    <mergeCell ref="A61:B61"/>
    <mergeCell ref="C61:E61"/>
    <mergeCell ref="F61:M61"/>
    <mergeCell ref="N61:Q61"/>
    <mergeCell ref="R61:U61"/>
    <mergeCell ref="V61:Z61"/>
    <mergeCell ref="AA63:AC63"/>
    <mergeCell ref="A64:B64"/>
    <mergeCell ref="C64:E64"/>
    <mergeCell ref="F64:M64"/>
    <mergeCell ref="N64:Q64"/>
    <mergeCell ref="R64:U64"/>
    <mergeCell ref="V64:Z64"/>
    <mergeCell ref="AA64:AC64"/>
    <mergeCell ref="A63:B63"/>
    <mergeCell ref="C63:E63"/>
    <mergeCell ref="F63:M63"/>
    <mergeCell ref="N63:Q63"/>
    <mergeCell ref="R63:U63"/>
    <mergeCell ref="V63:Z63"/>
    <mergeCell ref="AA65:AC65"/>
    <mergeCell ref="A66:B66"/>
    <mergeCell ref="C66:E66"/>
    <mergeCell ref="F66:M66"/>
    <mergeCell ref="N66:Q66"/>
    <mergeCell ref="R66:U66"/>
    <mergeCell ref="V66:Z66"/>
    <mergeCell ref="AA66:AC66"/>
    <mergeCell ref="A65:B65"/>
    <mergeCell ref="C65:E65"/>
    <mergeCell ref="F65:M65"/>
    <mergeCell ref="N65:Q65"/>
    <mergeCell ref="R65:U65"/>
    <mergeCell ref="V65:Z65"/>
    <mergeCell ref="AA67:AC67"/>
    <mergeCell ref="A68:B68"/>
    <mergeCell ref="C68:E68"/>
    <mergeCell ref="F68:M68"/>
    <mergeCell ref="N68:Q68"/>
    <mergeCell ref="R68:U68"/>
    <mergeCell ref="V68:Z68"/>
    <mergeCell ref="AA68:AC68"/>
    <mergeCell ref="A67:B67"/>
    <mergeCell ref="C67:E67"/>
    <mergeCell ref="F67:M67"/>
    <mergeCell ref="N67:Q67"/>
    <mergeCell ref="R67:U67"/>
    <mergeCell ref="V67:Z67"/>
    <mergeCell ref="AA69:AC69"/>
    <mergeCell ref="A70:B70"/>
    <mergeCell ref="C70:E70"/>
    <mergeCell ref="F70:M70"/>
    <mergeCell ref="N70:Q70"/>
    <mergeCell ref="R70:U70"/>
    <mergeCell ref="V70:Z70"/>
    <mergeCell ref="AA70:AC70"/>
    <mergeCell ref="A69:B69"/>
    <mergeCell ref="C69:E69"/>
    <mergeCell ref="F69:M69"/>
    <mergeCell ref="N69:Q69"/>
    <mergeCell ref="R69:U69"/>
    <mergeCell ref="V69:Z69"/>
    <mergeCell ref="AA71:AC71"/>
    <mergeCell ref="A72:B72"/>
    <mergeCell ref="C72:E72"/>
    <mergeCell ref="F72:M72"/>
    <mergeCell ref="N72:Q72"/>
    <mergeCell ref="R72:U72"/>
    <mergeCell ref="V72:Z72"/>
    <mergeCell ref="AA72:AC72"/>
    <mergeCell ref="A71:B71"/>
    <mergeCell ref="C71:E71"/>
    <mergeCell ref="F71:M71"/>
    <mergeCell ref="N71:Q71"/>
    <mergeCell ref="R71:U71"/>
    <mergeCell ref="V71:Z71"/>
    <mergeCell ref="AA73:AC73"/>
    <mergeCell ref="A74:B74"/>
    <mergeCell ref="C74:E74"/>
    <mergeCell ref="F74:M74"/>
    <mergeCell ref="N74:Q74"/>
    <mergeCell ref="R74:U74"/>
    <mergeCell ref="V74:Z74"/>
    <mergeCell ref="AA74:AC74"/>
    <mergeCell ref="A73:B73"/>
    <mergeCell ref="C73:E73"/>
    <mergeCell ref="F73:M73"/>
    <mergeCell ref="N73:Q73"/>
    <mergeCell ref="R73:U73"/>
    <mergeCell ref="V73:Z73"/>
    <mergeCell ref="AA75:AC75"/>
    <mergeCell ref="A76:B76"/>
    <mergeCell ref="C76:E76"/>
    <mergeCell ref="F76:M76"/>
    <mergeCell ref="N76:Q76"/>
    <mergeCell ref="R76:U76"/>
    <mergeCell ref="V76:Z76"/>
    <mergeCell ref="AA76:AC76"/>
    <mergeCell ref="A75:B75"/>
    <mergeCell ref="C75:E75"/>
    <mergeCell ref="F75:M75"/>
    <mergeCell ref="N75:Q75"/>
    <mergeCell ref="R75:U75"/>
    <mergeCell ref="V75:Z75"/>
    <mergeCell ref="AA77:AC77"/>
    <mergeCell ref="A78:B78"/>
    <mergeCell ref="C78:E78"/>
    <mergeCell ref="F78:M78"/>
    <mergeCell ref="N78:Q78"/>
    <mergeCell ref="R78:U78"/>
    <mergeCell ref="V78:Z78"/>
    <mergeCell ref="AA78:AC78"/>
    <mergeCell ref="A77:B77"/>
    <mergeCell ref="C77:E77"/>
    <mergeCell ref="F77:M77"/>
    <mergeCell ref="N77:Q77"/>
    <mergeCell ref="R77:U77"/>
    <mergeCell ref="V77:Z77"/>
    <mergeCell ref="AA79:AC79"/>
    <mergeCell ref="A80:B80"/>
    <mergeCell ref="C80:E80"/>
    <mergeCell ref="F80:M80"/>
    <mergeCell ref="N80:Q80"/>
    <mergeCell ref="R80:U80"/>
    <mergeCell ref="V80:Z80"/>
    <mergeCell ref="AA80:AC80"/>
    <mergeCell ref="A79:B79"/>
    <mergeCell ref="C79:E79"/>
    <mergeCell ref="F79:M79"/>
    <mergeCell ref="N79:Q79"/>
    <mergeCell ref="R79:U79"/>
    <mergeCell ref="V79:Z79"/>
    <mergeCell ref="AA81:AC81"/>
    <mergeCell ref="A82:B82"/>
    <mergeCell ref="C82:E82"/>
    <mergeCell ref="F82:M82"/>
    <mergeCell ref="N82:Q82"/>
    <mergeCell ref="R82:U82"/>
    <mergeCell ref="V82:Z82"/>
    <mergeCell ref="AA82:AC82"/>
    <mergeCell ref="A81:B81"/>
    <mergeCell ref="C81:E81"/>
    <mergeCell ref="F81:M81"/>
    <mergeCell ref="N81:Q81"/>
    <mergeCell ref="R81:U81"/>
    <mergeCell ref="V81:Z81"/>
    <mergeCell ref="AA83:AC83"/>
    <mergeCell ref="A84:B84"/>
    <mergeCell ref="C84:E84"/>
    <mergeCell ref="F84:M84"/>
    <mergeCell ref="N84:Q84"/>
    <mergeCell ref="R84:U84"/>
    <mergeCell ref="V84:Z84"/>
    <mergeCell ref="AA84:AC84"/>
    <mergeCell ref="A83:B83"/>
    <mergeCell ref="C83:E83"/>
    <mergeCell ref="F83:M83"/>
    <mergeCell ref="N83:Q83"/>
    <mergeCell ref="R83:U83"/>
    <mergeCell ref="V83:Z83"/>
    <mergeCell ref="AA85:AC85"/>
    <mergeCell ref="A86:B86"/>
    <mergeCell ref="C86:E86"/>
    <mergeCell ref="F86:M86"/>
    <mergeCell ref="N86:Q86"/>
    <mergeCell ref="R86:U86"/>
    <mergeCell ref="V86:Z86"/>
    <mergeCell ref="AA86:AC86"/>
    <mergeCell ref="A85:B85"/>
    <mergeCell ref="C85:E85"/>
    <mergeCell ref="F85:M85"/>
    <mergeCell ref="N85:Q85"/>
    <mergeCell ref="R85:U85"/>
    <mergeCell ref="V85:Z85"/>
    <mergeCell ref="AA87:AC87"/>
    <mergeCell ref="A88:B88"/>
    <mergeCell ref="C88:E88"/>
    <mergeCell ref="F88:M88"/>
    <mergeCell ref="N88:Q88"/>
    <mergeCell ref="R88:U88"/>
    <mergeCell ref="V88:Z88"/>
    <mergeCell ref="AA88:AC88"/>
    <mergeCell ref="A87:B87"/>
    <mergeCell ref="C87:E87"/>
    <mergeCell ref="F87:M87"/>
    <mergeCell ref="N87:Q87"/>
    <mergeCell ref="R87:U87"/>
    <mergeCell ref="V87:Z87"/>
    <mergeCell ref="AA89:AC89"/>
    <mergeCell ref="A90:B90"/>
    <mergeCell ref="C90:E90"/>
    <mergeCell ref="F90:M90"/>
    <mergeCell ref="N90:Q90"/>
    <mergeCell ref="R90:U90"/>
    <mergeCell ref="V90:Z90"/>
    <mergeCell ref="AA90:AC90"/>
    <mergeCell ref="A89:B89"/>
    <mergeCell ref="C89:E89"/>
    <mergeCell ref="F89:M89"/>
    <mergeCell ref="N89:Q89"/>
    <mergeCell ref="R89:U89"/>
    <mergeCell ref="V89:Z89"/>
    <mergeCell ref="AA91:AC91"/>
    <mergeCell ref="A92:B92"/>
    <mergeCell ref="C92:E92"/>
    <mergeCell ref="F92:M92"/>
    <mergeCell ref="N92:Q92"/>
    <mergeCell ref="R92:U92"/>
    <mergeCell ref="V92:Z92"/>
    <mergeCell ref="AA92:AC92"/>
    <mergeCell ref="A91:B91"/>
    <mergeCell ref="C91:E91"/>
    <mergeCell ref="F91:M91"/>
    <mergeCell ref="N91:Q91"/>
    <mergeCell ref="R91:U91"/>
    <mergeCell ref="V91:Z91"/>
    <mergeCell ref="AA93:AC93"/>
    <mergeCell ref="A94:B94"/>
    <mergeCell ref="C94:E94"/>
    <mergeCell ref="F94:M94"/>
    <mergeCell ref="N94:Q94"/>
    <mergeCell ref="R94:U94"/>
    <mergeCell ref="V94:Z94"/>
    <mergeCell ref="AA94:AC94"/>
    <mergeCell ref="A93:B93"/>
    <mergeCell ref="C93:E93"/>
    <mergeCell ref="F93:M93"/>
    <mergeCell ref="N93:Q93"/>
    <mergeCell ref="R93:U93"/>
    <mergeCell ref="V93:Z93"/>
    <mergeCell ref="AA95:AC95"/>
    <mergeCell ref="A96:B96"/>
    <mergeCell ref="C96:E96"/>
    <mergeCell ref="F96:M96"/>
    <mergeCell ref="N96:Q96"/>
    <mergeCell ref="R96:U96"/>
    <mergeCell ref="V96:Z96"/>
    <mergeCell ref="AA96:AC96"/>
    <mergeCell ref="A95:B95"/>
    <mergeCell ref="C95:E95"/>
    <mergeCell ref="F95:M95"/>
    <mergeCell ref="N95:Q95"/>
    <mergeCell ref="R95:U95"/>
    <mergeCell ref="V95:Z95"/>
    <mergeCell ref="AA97:AC97"/>
    <mergeCell ref="A98:B98"/>
    <mergeCell ref="C98:E98"/>
    <mergeCell ref="F98:M98"/>
    <mergeCell ref="N98:Q98"/>
    <mergeCell ref="R98:U98"/>
    <mergeCell ref="V98:Z98"/>
    <mergeCell ref="AA98:AC98"/>
    <mergeCell ref="A97:B97"/>
    <mergeCell ref="C97:E97"/>
    <mergeCell ref="F97:M97"/>
    <mergeCell ref="N97:Q97"/>
    <mergeCell ref="R97:U97"/>
    <mergeCell ref="V97:Z97"/>
    <mergeCell ref="AA99:AC99"/>
    <mergeCell ref="A100:B100"/>
    <mergeCell ref="C100:E100"/>
    <mergeCell ref="F100:M100"/>
    <mergeCell ref="N100:Q100"/>
    <mergeCell ref="R100:U100"/>
    <mergeCell ref="V100:Z100"/>
    <mergeCell ref="AA100:AC100"/>
    <mergeCell ref="A99:B99"/>
    <mergeCell ref="C99:E99"/>
    <mergeCell ref="F99:M99"/>
    <mergeCell ref="N99:Q99"/>
    <mergeCell ref="R99:U99"/>
    <mergeCell ref="V99:Z99"/>
    <mergeCell ref="AA101:AC101"/>
    <mergeCell ref="A102:B102"/>
    <mergeCell ref="C102:E102"/>
    <mergeCell ref="F102:M102"/>
    <mergeCell ref="N102:Q102"/>
    <mergeCell ref="R102:U102"/>
    <mergeCell ref="V102:Z102"/>
    <mergeCell ref="AA102:AC102"/>
    <mergeCell ref="A101:B101"/>
    <mergeCell ref="C101:E101"/>
    <mergeCell ref="F101:M101"/>
    <mergeCell ref="N101:Q101"/>
    <mergeCell ref="R101:U101"/>
    <mergeCell ref="V101:Z101"/>
    <mergeCell ref="AA103:AC103"/>
    <mergeCell ref="A104:B104"/>
    <mergeCell ref="C104:E104"/>
    <mergeCell ref="F104:M104"/>
    <mergeCell ref="N104:Q104"/>
    <mergeCell ref="R104:U104"/>
    <mergeCell ref="V104:Z104"/>
    <mergeCell ref="AA104:AC104"/>
    <mergeCell ref="A103:B103"/>
    <mergeCell ref="C103:E103"/>
    <mergeCell ref="F103:M103"/>
    <mergeCell ref="N103:Q103"/>
    <mergeCell ref="R103:U103"/>
    <mergeCell ref="V103:Z103"/>
    <mergeCell ref="AA105:AC105"/>
    <mergeCell ref="A106:B106"/>
    <mergeCell ref="C106:E106"/>
    <mergeCell ref="F106:M106"/>
    <mergeCell ref="N106:Q106"/>
    <mergeCell ref="R106:U106"/>
    <mergeCell ref="V106:Z106"/>
    <mergeCell ref="AA106:AC106"/>
    <mergeCell ref="A105:B105"/>
    <mergeCell ref="C105:E105"/>
    <mergeCell ref="F105:M105"/>
    <mergeCell ref="N105:Q105"/>
    <mergeCell ref="R105:U105"/>
    <mergeCell ref="V105:Z105"/>
    <mergeCell ref="AA107:AC107"/>
    <mergeCell ref="A108:B108"/>
    <mergeCell ref="C108:E108"/>
    <mergeCell ref="F108:M108"/>
    <mergeCell ref="N108:Q108"/>
    <mergeCell ref="R108:U108"/>
    <mergeCell ref="V108:Z108"/>
    <mergeCell ref="AA108:AC108"/>
    <mergeCell ref="A107:B107"/>
    <mergeCell ref="C107:E107"/>
    <mergeCell ref="F107:M107"/>
    <mergeCell ref="N107:Q107"/>
    <mergeCell ref="R107:U107"/>
    <mergeCell ref="V107:Z107"/>
    <mergeCell ref="AA109:AC109"/>
    <mergeCell ref="A110:B110"/>
    <mergeCell ref="C110:E110"/>
    <mergeCell ref="F110:M110"/>
    <mergeCell ref="N110:Q110"/>
    <mergeCell ref="R110:U110"/>
    <mergeCell ref="V110:Z110"/>
    <mergeCell ref="AA110:AC110"/>
    <mergeCell ref="A109:B109"/>
    <mergeCell ref="C109:E109"/>
    <mergeCell ref="F109:M109"/>
    <mergeCell ref="N109:Q109"/>
    <mergeCell ref="R109:U109"/>
    <mergeCell ref="V109:Z109"/>
    <mergeCell ref="AA111:AC111"/>
    <mergeCell ref="A112:B112"/>
    <mergeCell ref="C112:E112"/>
    <mergeCell ref="F112:M112"/>
    <mergeCell ref="N112:Q112"/>
    <mergeCell ref="R112:U112"/>
    <mergeCell ref="V112:Z112"/>
    <mergeCell ref="AA112:AC112"/>
    <mergeCell ref="A111:B111"/>
    <mergeCell ref="C111:E111"/>
    <mergeCell ref="F111:M111"/>
    <mergeCell ref="N111:Q111"/>
    <mergeCell ref="R111:U111"/>
    <mergeCell ref="V111:Z111"/>
    <mergeCell ref="AA113:AC113"/>
    <mergeCell ref="A114:B114"/>
    <mergeCell ref="C114:E114"/>
    <mergeCell ref="F114:M114"/>
    <mergeCell ref="N114:Q114"/>
    <mergeCell ref="R114:U114"/>
    <mergeCell ref="V114:Z114"/>
    <mergeCell ref="AA114:AC114"/>
    <mergeCell ref="A113:B113"/>
    <mergeCell ref="C113:E113"/>
    <mergeCell ref="F113:M113"/>
    <mergeCell ref="N113:Q113"/>
    <mergeCell ref="R113:U113"/>
    <mergeCell ref="V113:Z113"/>
    <mergeCell ref="AA115:AC115"/>
    <mergeCell ref="A116:B116"/>
    <mergeCell ref="C116:E116"/>
    <mergeCell ref="F116:M116"/>
    <mergeCell ref="N116:Q116"/>
    <mergeCell ref="R116:U116"/>
    <mergeCell ref="V116:Z116"/>
    <mergeCell ref="AA116:AC116"/>
    <mergeCell ref="A115:B115"/>
    <mergeCell ref="C115:E115"/>
    <mergeCell ref="F115:M115"/>
    <mergeCell ref="N115:Q115"/>
    <mergeCell ref="R115:U115"/>
    <mergeCell ref="V115:Z115"/>
    <mergeCell ref="AA117:AC117"/>
    <mergeCell ref="A118:B118"/>
    <mergeCell ref="C118:E118"/>
    <mergeCell ref="F118:M118"/>
    <mergeCell ref="N118:Q118"/>
    <mergeCell ref="R118:U118"/>
    <mergeCell ref="V118:Z118"/>
    <mergeCell ref="AA118:AC118"/>
    <mergeCell ref="A117:B117"/>
    <mergeCell ref="C117:E117"/>
    <mergeCell ref="F117:M117"/>
    <mergeCell ref="N117:Q117"/>
    <mergeCell ref="R117:U117"/>
    <mergeCell ref="V117:Z117"/>
    <mergeCell ref="AA119:AC119"/>
    <mergeCell ref="A120:B120"/>
    <mergeCell ref="C120:E120"/>
    <mergeCell ref="F120:M120"/>
    <mergeCell ref="N120:Q120"/>
    <mergeCell ref="R120:U120"/>
    <mergeCell ref="V120:Z120"/>
    <mergeCell ref="AA120:AC120"/>
    <mergeCell ref="A119:B119"/>
    <mergeCell ref="C119:E119"/>
    <mergeCell ref="F119:M119"/>
    <mergeCell ref="N119:Q119"/>
    <mergeCell ref="R119:U119"/>
    <mergeCell ref="V119:Z119"/>
    <mergeCell ref="AA121:AC121"/>
    <mergeCell ref="A122:B122"/>
    <mergeCell ref="C122:E122"/>
    <mergeCell ref="F122:M122"/>
    <mergeCell ref="N122:Q122"/>
    <mergeCell ref="R122:U122"/>
    <mergeCell ref="V122:Z122"/>
    <mergeCell ref="AA122:AC122"/>
    <mergeCell ref="A121:B121"/>
    <mergeCell ref="C121:E121"/>
    <mergeCell ref="F121:M121"/>
    <mergeCell ref="N121:Q121"/>
    <mergeCell ref="R121:U121"/>
    <mergeCell ref="V121:Z121"/>
    <mergeCell ref="AA123:AC123"/>
    <mergeCell ref="A124:B124"/>
    <mergeCell ref="C124:E124"/>
    <mergeCell ref="F124:M124"/>
    <mergeCell ref="N124:Q124"/>
    <mergeCell ref="R124:U124"/>
    <mergeCell ref="V124:Z124"/>
    <mergeCell ref="AA124:AC124"/>
    <mergeCell ref="A123:B123"/>
    <mergeCell ref="C123:E123"/>
    <mergeCell ref="F123:M123"/>
    <mergeCell ref="N123:Q123"/>
    <mergeCell ref="R123:U123"/>
    <mergeCell ref="V123:Z123"/>
    <mergeCell ref="AA125:AC125"/>
    <mergeCell ref="A126:B126"/>
    <mergeCell ref="C126:E126"/>
    <mergeCell ref="F126:M126"/>
    <mergeCell ref="N126:Q126"/>
    <mergeCell ref="R126:U126"/>
    <mergeCell ref="V126:Z126"/>
    <mergeCell ref="AA126:AC126"/>
    <mergeCell ref="A125:B125"/>
    <mergeCell ref="C125:E125"/>
    <mergeCell ref="F125:M125"/>
    <mergeCell ref="N125:Q125"/>
    <mergeCell ref="R125:U125"/>
    <mergeCell ref="V125:Z125"/>
    <mergeCell ref="AA127:AC127"/>
    <mergeCell ref="A128:B128"/>
    <mergeCell ref="C128:E128"/>
    <mergeCell ref="F128:M128"/>
    <mergeCell ref="N128:Q128"/>
    <mergeCell ref="R128:U128"/>
    <mergeCell ref="V128:Z128"/>
    <mergeCell ref="AA128:AC128"/>
    <mergeCell ref="A127:B127"/>
    <mergeCell ref="C127:E127"/>
    <mergeCell ref="F127:M127"/>
    <mergeCell ref="N127:Q127"/>
    <mergeCell ref="R127:U127"/>
    <mergeCell ref="V127:Z127"/>
    <mergeCell ref="AA129:AC129"/>
    <mergeCell ref="A130:B130"/>
    <mergeCell ref="C130:E130"/>
    <mergeCell ref="F130:M130"/>
    <mergeCell ref="N130:Q130"/>
    <mergeCell ref="R130:U130"/>
    <mergeCell ref="V130:Z130"/>
    <mergeCell ref="AA130:AC130"/>
    <mergeCell ref="A129:B129"/>
    <mergeCell ref="C129:E129"/>
    <mergeCell ref="F129:M129"/>
    <mergeCell ref="N129:Q129"/>
    <mergeCell ref="R129:U129"/>
    <mergeCell ref="V129:Z129"/>
    <mergeCell ref="AA131:AC131"/>
    <mergeCell ref="A132:B132"/>
    <mergeCell ref="C132:E132"/>
    <mergeCell ref="F132:M132"/>
    <mergeCell ref="N132:Q132"/>
    <mergeCell ref="R132:U132"/>
    <mergeCell ref="V132:Z132"/>
    <mergeCell ref="AA132:AC132"/>
    <mergeCell ref="A131:B131"/>
    <mergeCell ref="C131:E131"/>
    <mergeCell ref="F131:M131"/>
    <mergeCell ref="N131:Q131"/>
    <mergeCell ref="R131:U131"/>
    <mergeCell ref="V131:Z131"/>
    <mergeCell ref="AA133:AC133"/>
    <mergeCell ref="A134:B134"/>
    <mergeCell ref="C134:E134"/>
    <mergeCell ref="F134:M134"/>
    <mergeCell ref="N134:Q134"/>
    <mergeCell ref="R134:U134"/>
    <mergeCell ref="V134:Z134"/>
    <mergeCell ref="AA134:AC134"/>
    <mergeCell ref="A133:B133"/>
    <mergeCell ref="C133:E133"/>
    <mergeCell ref="F133:M133"/>
    <mergeCell ref="N133:Q133"/>
    <mergeCell ref="R133:U133"/>
    <mergeCell ref="V133:Z133"/>
    <mergeCell ref="F137:M137"/>
    <mergeCell ref="N137:Q137"/>
    <mergeCell ref="R137:U137"/>
    <mergeCell ref="V137:Z137"/>
    <mergeCell ref="AA135:AC135"/>
    <mergeCell ref="A136:B136"/>
    <mergeCell ref="C136:E136"/>
    <mergeCell ref="F136:M136"/>
    <mergeCell ref="N136:Q136"/>
    <mergeCell ref="R136:U136"/>
    <mergeCell ref="V136:Z136"/>
    <mergeCell ref="AA136:AC136"/>
    <mergeCell ref="A135:B135"/>
    <mergeCell ref="C135:E135"/>
    <mergeCell ref="F135:M135"/>
    <mergeCell ref="N135:Q135"/>
    <mergeCell ref="R135:U135"/>
    <mergeCell ref="V135:Z135"/>
    <mergeCell ref="AA139:AC139"/>
    <mergeCell ref="D7:E7"/>
    <mergeCell ref="A7:C7"/>
    <mergeCell ref="A20:D20"/>
    <mergeCell ref="E20:G20"/>
    <mergeCell ref="X2:AI3"/>
    <mergeCell ref="X4:AI5"/>
    <mergeCell ref="AF8:AI12"/>
    <mergeCell ref="A139:B139"/>
    <mergeCell ref="C139:E139"/>
    <mergeCell ref="F139:M139"/>
    <mergeCell ref="N139:Q139"/>
    <mergeCell ref="R139:U139"/>
    <mergeCell ref="V139:Z139"/>
    <mergeCell ref="AA137:AC137"/>
    <mergeCell ref="A138:B138"/>
    <mergeCell ref="C138:E138"/>
    <mergeCell ref="F138:M138"/>
    <mergeCell ref="N138:Q138"/>
    <mergeCell ref="R138:U138"/>
    <mergeCell ref="V138:Z138"/>
    <mergeCell ref="AA138:AC138"/>
    <mergeCell ref="A137:B137"/>
    <mergeCell ref="C137:E137"/>
  </mergeCells>
  <conditionalFormatting sqref="D5:E5">
    <cfRule type="expression" dxfId="3" priority="4">
      <formula>IF(AND(B5&lt;&gt;"",D5&lt;&gt;""),TRUE)</formula>
    </cfRule>
  </conditionalFormatting>
  <conditionalFormatting sqref="X2:AI5">
    <cfRule type="expression" dxfId="2" priority="2">
      <formula>W3="N"</formula>
    </cfRule>
  </conditionalFormatting>
  <conditionalFormatting sqref="AF8:AI12">
    <cfRule type="expression" dxfId="1" priority="1">
      <formula>AD11="E"</formula>
    </cfRule>
  </conditionalFormatting>
  <dataValidations count="1">
    <dataValidation type="list" allowBlank="1" showInputMessage="1" showErrorMessage="1" sqref="E1:G2" xr:uid="{FB2B3354-3492-441C-B86F-E1F720DC1728}">
      <formula1>"58 Hour, 30 Hour"</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4E03A-BEAB-4241-9098-7C9D478C26D3}">
  <dimension ref="A1:AA420"/>
  <sheetViews>
    <sheetView workbookViewId="0">
      <selection activeCell="H6" sqref="H6:H8"/>
    </sheetView>
  </sheetViews>
  <sheetFormatPr defaultRowHeight="15" x14ac:dyDescent="0.25"/>
  <cols>
    <col min="2" max="2" width="15.28515625" customWidth="1"/>
    <col min="3" max="3" width="7.85546875" customWidth="1"/>
    <col min="4" max="4" width="7.7109375" customWidth="1"/>
    <col min="8" max="8" width="10.42578125" customWidth="1"/>
    <col min="9" max="9" width="12.42578125" bestFit="1" customWidth="1"/>
    <col min="10" max="10" width="10.5703125" customWidth="1"/>
    <col min="11" max="11" width="13.7109375" customWidth="1"/>
    <col min="12" max="12" width="14.5703125" bestFit="1" customWidth="1"/>
    <col min="13" max="13" width="13.5703125" bestFit="1" customWidth="1"/>
    <col min="15" max="15" width="11.42578125" customWidth="1"/>
    <col min="16" max="16" width="10.28515625" customWidth="1"/>
    <col min="17" max="18" width="14.5703125" bestFit="1" customWidth="1"/>
    <col min="19" max="21" width="9.42578125" bestFit="1" customWidth="1"/>
    <col min="22" max="24" width="12.42578125" bestFit="1" customWidth="1"/>
    <col min="25" max="25" width="13.42578125" customWidth="1"/>
  </cols>
  <sheetData>
    <row r="1" spans="1:23" x14ac:dyDescent="0.25">
      <c r="A1" s="30" t="s">
        <v>824</v>
      </c>
      <c r="B1" t="str" cm="1">
        <f t="array" aca="1" ref="B1" ca="1">_xlfn.TEXTAFTER(CELL("filename",A1),"]")</f>
        <v>SCORE(1)</v>
      </c>
      <c r="D1" s="9" t="s">
        <v>827</v>
      </c>
      <c r="E1" s="3" t="e">
        <f ca="1">VLOOKUP($B$2,#REF!,2,FALSE)</f>
        <v>#REF!</v>
      </c>
      <c r="G1" s="8" t="s">
        <v>832</v>
      </c>
      <c r="H1" s="6" t="s">
        <v>0</v>
      </c>
      <c r="I1" s="6" t="s">
        <v>841</v>
      </c>
      <c r="J1" s="6" t="s">
        <v>834</v>
      </c>
      <c r="K1" s="6" t="s">
        <v>835</v>
      </c>
      <c r="L1" s="3" t="s">
        <v>836</v>
      </c>
      <c r="M1" s="6" t="s">
        <v>1059</v>
      </c>
      <c r="N1" s="21" t="s">
        <v>837</v>
      </c>
      <c r="O1" s="6" t="e">
        <f ca="1">IF(AND(VLOOKUP($B$2,#REF!,10,FALSE)="Y",VLOOKUP($B$2,#REF!,11,FALSE)="Y"),"YES","NO")</f>
        <v>#REF!</v>
      </c>
      <c r="P1" s="6"/>
      <c r="Q1" s="34" t="s">
        <v>21</v>
      </c>
      <c r="R1">
        <f>SUM(I11:I125)</f>
        <v>0</v>
      </c>
    </row>
    <row r="2" spans="1:23" x14ac:dyDescent="0.25">
      <c r="A2" s="30" t="s">
        <v>823</v>
      </c>
      <c r="B2">
        <f ca="1">VALUE(MID(B1,SEARCH("(",B1)+1,SEARCH(")",B1)-SEARCH("(",B1)-1)+0)</f>
        <v>1</v>
      </c>
      <c r="D2" s="9" t="s">
        <v>828</v>
      </c>
      <c r="E2" s="3" t="e">
        <f ca="1">VLOOKUP($B$2,#REF!,5,FALSE)</f>
        <v>#REF!</v>
      </c>
      <c r="G2" s="7" t="s">
        <v>178</v>
      </c>
      <c r="H2" s="27" t="str">
        <f>IF(COUNTIF($F$11:$F$125,G2)=1,G2,"")</f>
        <v/>
      </c>
      <c r="I2" s="3" t="e">
        <f>INDEX(T$348:T$349,MATCH($H2,$P$348:$P$349,0))</f>
        <v>#N/A</v>
      </c>
      <c r="J2" s="19" t="e">
        <f t="shared" ref="J2:K3" si="0">INDEX(Q$348:Q$349,MATCH($H2,$P$348:$P$349,0))</f>
        <v>#N/A</v>
      </c>
      <c r="K2" s="19" t="e">
        <f t="shared" si="0"/>
        <v>#N/A</v>
      </c>
      <c r="L2" s="3">
        <f>'Rider ScoreSheet Helper (a)'!F2</f>
        <v>555</v>
      </c>
      <c r="M2" s="3" t="str">
        <f>IF(H2="","",INDEX(U$348:U$349,MATCH($H2,$P$348:$P$349,0)))</f>
        <v/>
      </c>
      <c r="N2" s="21" t="s">
        <v>838</v>
      </c>
      <c r="O2" s="6" t="e">
        <f ca="1">IF(VLOOKUP($B$2,#REF!,12,FALSE)="Y","YES","NO")</f>
        <v>#REF!</v>
      </c>
      <c r="P2" s="6" t="e">
        <f ca="1">IF(O2="YES",15000,0)</f>
        <v>#REF!</v>
      </c>
      <c r="Q2" s="34" t="s">
        <v>22</v>
      </c>
      <c r="R2">
        <f>SUM(J11:J125)</f>
        <v>0</v>
      </c>
    </row>
    <row r="3" spans="1:23" x14ac:dyDescent="0.25">
      <c r="A3" s="30" t="s">
        <v>1061</v>
      </c>
      <c r="B3" t="str">
        <f>ScoreHelper!E1</f>
        <v>58 Hour</v>
      </c>
      <c r="G3" s="7" t="s">
        <v>179</v>
      </c>
      <c r="H3" s="27" t="str">
        <f>IF(COUNTIF($F$11:$F$125,G3)=1,G3,"")</f>
        <v/>
      </c>
      <c r="I3" s="3" t="e">
        <f>INDEX(T$348:T$349,MATCH($H3,$P$348:$P$349,0))</f>
        <v>#N/A</v>
      </c>
      <c r="J3" s="19" t="e">
        <f t="shared" si="0"/>
        <v>#N/A</v>
      </c>
      <c r="K3" s="19" t="e">
        <f t="shared" si="0"/>
        <v>#N/A</v>
      </c>
      <c r="L3" s="3">
        <f>'Rider ScoreSheet Helper (a)'!F3</f>
        <v>300</v>
      </c>
      <c r="M3" s="3" t="str">
        <f>IF(H3="","",INDEX(U$348:U$349,MATCH($H3,$P$348:$P$349,0)))</f>
        <v/>
      </c>
      <c r="N3" s="21" t="s">
        <v>839</v>
      </c>
      <c r="O3" s="6" t="e">
        <f ca="1">IF(VLOOKUP($B$2,#REF!,13,FALSE)="Y","YES","NO")</f>
        <v>#REF!</v>
      </c>
      <c r="P3" s="6"/>
      <c r="Q3" s="34" t="s">
        <v>23</v>
      </c>
      <c r="R3">
        <f>SUM(K11:K125)</f>
        <v>0</v>
      </c>
    </row>
    <row r="4" spans="1:23" ht="18" x14ac:dyDescent="0.25">
      <c r="A4" s="29" t="s">
        <v>825</v>
      </c>
      <c r="J4" s="3"/>
      <c r="K4" s="25" t="s">
        <v>1065</v>
      </c>
      <c r="L4" s="3">
        <f>'Rider ScoreSheet Helper (a)'!F4</f>
        <v>0</v>
      </c>
      <c r="N4" s="21" t="s">
        <v>840</v>
      </c>
      <c r="O4" s="6" t="e">
        <f ca="1">IF(VLOOKUP($B$2,#REF!,14,FALSE)="Y","YES","NO")</f>
        <v>#REF!</v>
      </c>
      <c r="P4" s="6"/>
      <c r="Q4" s="34" t="s">
        <v>24</v>
      </c>
      <c r="R4">
        <f>SUM(L11:L125)</f>
        <v>0</v>
      </c>
    </row>
    <row r="5" spans="1:23" ht="18" x14ac:dyDescent="0.25">
      <c r="A5" s="29" t="s">
        <v>826</v>
      </c>
      <c r="G5" s="8" t="s">
        <v>833</v>
      </c>
      <c r="H5" s="1"/>
      <c r="J5" s="3"/>
      <c r="K5" s="3"/>
      <c r="N5" s="21" t="s">
        <v>1060</v>
      </c>
      <c r="O5" s="6">
        <f>IF(LEFT(B3,2)="58",2,4)</f>
        <v>2</v>
      </c>
      <c r="P5" s="6">
        <f>_xlfn.IFNA((L4*2)*(O5^L9),0)</f>
        <v>0</v>
      </c>
      <c r="Q5" s="34" t="s">
        <v>1069</v>
      </c>
      <c r="R5">
        <f>SUM(M11:M125)</f>
        <v>0</v>
      </c>
    </row>
    <row r="6" spans="1:23" x14ac:dyDescent="0.25">
      <c r="A6" s="31" t="s">
        <v>829</v>
      </c>
      <c r="G6" s="7" t="s">
        <v>1112</v>
      </c>
      <c r="H6" s="27" t="str">
        <f>IFERROR(VLOOKUP(G6,$Q$11:$R$125,2,FALSE),"")</f>
        <v/>
      </c>
      <c r="I6" s="19" t="str" cm="1">
        <f t="array" ref="I6:I8">V350:V352</f>
        <v/>
      </c>
      <c r="J6" s="19" t="str">
        <f t="shared" ref="J6:K8" si="1">INDEX(Y$354:Y$417,MATCH($H6,$W$354:$W$417,0))</f>
        <v/>
      </c>
      <c r="K6" s="19" t="str">
        <f t="shared" si="1"/>
        <v/>
      </c>
      <c r="L6" s="28" t="str">
        <f>U350</f>
        <v/>
      </c>
      <c r="N6" s="21" t="s">
        <v>1062</v>
      </c>
      <c r="O6" s="6"/>
      <c r="P6" s="6">
        <f>SMALL(R1:R4,1)</f>
        <v>0</v>
      </c>
    </row>
    <row r="7" spans="1:23" ht="23.25" x14ac:dyDescent="0.25">
      <c r="A7" s="31" t="s">
        <v>830</v>
      </c>
      <c r="G7" s="7" t="s">
        <v>1113</v>
      </c>
      <c r="H7" s="27" t="str">
        <f t="shared" ref="H7:H8" si="2">IFERROR(VLOOKUP(G7,$Q$11:$R$125,2,FALSE),"")</f>
        <v/>
      </c>
      <c r="I7" s="3" t="str">
        <v/>
      </c>
      <c r="J7" s="19" t="str">
        <f t="shared" si="1"/>
        <v/>
      </c>
      <c r="K7" s="19" t="str">
        <f t="shared" si="1"/>
        <v/>
      </c>
      <c r="L7" s="28" t="str">
        <f t="shared" ref="L7:L8" si="3">U351</f>
        <v/>
      </c>
      <c r="N7" s="21" t="s">
        <v>1063</v>
      </c>
      <c r="O7" s="6"/>
      <c r="P7" s="6">
        <f>R5</f>
        <v>0</v>
      </c>
      <c r="R7" t="s">
        <v>1152</v>
      </c>
      <c r="S7" t="str">
        <f>IF(COUNTIF(W11:W18,"Y")=8,"Y","N")</f>
        <v>N</v>
      </c>
    </row>
    <row r="8" spans="1:23" x14ac:dyDescent="0.25">
      <c r="A8" s="31" t="s">
        <v>831</v>
      </c>
      <c r="G8" s="7" t="s">
        <v>1114</v>
      </c>
      <c r="H8" s="27" t="str">
        <f t="shared" si="2"/>
        <v/>
      </c>
      <c r="I8" s="3" t="str">
        <v/>
      </c>
      <c r="J8" s="19" t="str">
        <f t="shared" si="1"/>
        <v/>
      </c>
      <c r="K8" s="19" t="str">
        <f t="shared" si="1"/>
        <v/>
      </c>
      <c r="L8" s="28" t="str">
        <f t="shared" si="3"/>
        <v/>
      </c>
      <c r="R8" t="s">
        <v>1153</v>
      </c>
      <c r="S8" t="str">
        <f>IF(COUNTIF(W11:W18,"Y")&gt;2,"Y","N")</f>
        <v>N</v>
      </c>
    </row>
    <row r="9" spans="1:23" ht="15.75" x14ac:dyDescent="0.25">
      <c r="K9" s="24" t="s">
        <v>1058</v>
      </c>
      <c r="L9" s="26">
        <f>COUNTIF(_xlfn.ANCHORARRAY(I6),"A")</f>
        <v>0</v>
      </c>
      <c r="N9" s="7" t="s">
        <v>1064</v>
      </c>
      <c r="P9" s="1" t="e">
        <f ca="1">SUM(P1:P7)</f>
        <v>#REF!</v>
      </c>
    </row>
    <row r="10" spans="1:23" ht="17.25" customHeight="1" x14ac:dyDescent="0.25">
      <c r="A10" s="22" t="s">
        <v>820</v>
      </c>
      <c r="B10" s="23"/>
      <c r="C10" s="23"/>
      <c r="D10" s="23"/>
      <c r="E10" s="23"/>
      <c r="F10" s="23"/>
      <c r="G10" s="23"/>
      <c r="H10" s="37" t="s">
        <v>1068</v>
      </c>
      <c r="I10" s="36" t="s">
        <v>344</v>
      </c>
      <c r="J10" s="36" t="s">
        <v>333</v>
      </c>
      <c r="K10" s="38" t="s">
        <v>342</v>
      </c>
      <c r="L10" s="36" t="s">
        <v>343</v>
      </c>
      <c r="M10" s="36" t="s">
        <v>1060</v>
      </c>
      <c r="N10" s="35" t="s">
        <v>1067</v>
      </c>
      <c r="O10" s="35" t="s">
        <v>1110</v>
      </c>
      <c r="P10" s="35" t="s">
        <v>1111</v>
      </c>
      <c r="Q10" s="35" t="s">
        <v>1066</v>
      </c>
      <c r="R10" s="35"/>
      <c r="S10" s="35"/>
    </row>
    <row r="11" spans="1:23" x14ac:dyDescent="0.25">
      <c r="A11">
        <v>1</v>
      </c>
      <c r="B11" t="str">
        <f>IF(ScoreHelper!C25="","",ScoreHelper!C25)</f>
        <v/>
      </c>
      <c r="C11" t="s">
        <v>1051</v>
      </c>
      <c r="D11" t="str">
        <f>IF(B11="","",IF(C11="D","",B11))</f>
        <v/>
      </c>
      <c r="E11" t="str">
        <f>IF(B11="","",IF(COUNTIF($D$11:D11,D11)&gt;1,"DP",D11))</f>
        <v/>
      </c>
      <c r="F11" t="str">
        <f>IF(B11="","",IF(D11=E11,E11,""))</f>
        <v/>
      </c>
      <c r="G11" t="str">
        <f>IF(F11="","",VLOOKUP(F11,$A$201:$N$420,7,FALSE))</f>
        <v/>
      </c>
      <c r="H11" s="3" t="str">
        <f t="shared" ref="H11:H74" si="4">IF(F11="","",_xlfn.IFNA(VLOOKUP(F11,$A$201:$I$345,9,FALSE),IF(COUNTIF($A$348:$A$417,F11)=1,"MEAL/REST","")))</f>
        <v/>
      </c>
      <c r="I11" t="str">
        <f>IF($F11="","",IF($H11=I$10,$G11,""))</f>
        <v/>
      </c>
      <c r="J11" t="str">
        <f t="shared" ref="J11:M26" si="5">IF($F11="","",IF($H11=J$10,$G11,""))</f>
        <v/>
      </c>
      <c r="K11" t="str">
        <f t="shared" si="5"/>
        <v/>
      </c>
      <c r="L11" t="str">
        <f t="shared" si="5"/>
        <v/>
      </c>
      <c r="M11" t="str">
        <f>IF($F11="","",IF($H11=M$10,$G11,""))</f>
        <v/>
      </c>
      <c r="N11" t="str">
        <f t="shared" ref="N11" si="6">IF(COUNTIF($A$348:$A$417,F11)=1,"Y","")</f>
        <v/>
      </c>
      <c r="O11" s="33" t="str">
        <f>IF(COUNTIF($A$354:$A$417,F11)=1,"MEAL","")</f>
        <v/>
      </c>
      <c r="P11" s="47" t="str">
        <f>IF(AND(VALUE(LEFT($B$3,2))=30,IF(O11="","",COUNTIF($O$11:O11,"MEAL"))&gt;2),"",IF(O11="","",COUNTIF($O$11:O11,"MEAL")))</f>
        <v/>
      </c>
      <c r="Q11" t="str">
        <f t="shared" ref="Q11" si="7">O11&amp;P11</f>
        <v/>
      </c>
      <c r="R11" t="str">
        <f t="shared" ref="R11:R74" si="8">IF(O11="MEAL",F11,"")</f>
        <v/>
      </c>
      <c r="S11" t="str">
        <f>IF(F11="","",VLOOKUP(F11,$A$201:$J$345,10,FALSE)&amp;VLOOKUP(F11,$A$201:$J$345,8,FALSE))</f>
        <v/>
      </c>
      <c r="V11" t="s">
        <v>1144</v>
      </c>
      <c r="W11" t="str">
        <f>IF(COUNTIF($S$11:$S$125,V11)&gt;0,"Y","")</f>
        <v/>
      </c>
    </row>
    <row r="12" spans="1:23" x14ac:dyDescent="0.25">
      <c r="A12">
        <v>2</v>
      </c>
      <c r="B12" t="str">
        <f>IF(ScoreHelper!C26="","",ScoreHelper!C26)</f>
        <v/>
      </c>
      <c r="C12" t="s">
        <v>1051</v>
      </c>
      <c r="D12" t="str">
        <f t="shared" ref="D12:D75" si="9">IF(B12="","",IF(C12="D","",B12))</f>
        <v/>
      </c>
      <c r="E12" t="str">
        <f>IF(B12="","",IF(COUNTIF($D$11:D12,D12)&gt;1,"DP",D12))</f>
        <v/>
      </c>
      <c r="F12" t="str">
        <f t="shared" ref="F12:F75" si="10">IF(B12="","",IF(D12=E12,E12,""))</f>
        <v/>
      </c>
      <c r="G12" t="str">
        <f t="shared" ref="G12:G75" si="11">IF(F12="","",VLOOKUP(F12,$A$201:$N$420,7,FALSE))</f>
        <v/>
      </c>
      <c r="H12" s="3" t="str">
        <f t="shared" si="4"/>
        <v/>
      </c>
      <c r="I12" t="str">
        <f t="shared" ref="I12:M43" si="12">IF($F12="","",IF($H12=I$10,$G12,""))</f>
        <v/>
      </c>
      <c r="J12" t="str">
        <f t="shared" si="5"/>
        <v/>
      </c>
      <c r="K12" t="str">
        <f t="shared" si="5"/>
        <v/>
      </c>
      <c r="L12" t="str">
        <f t="shared" si="5"/>
        <v/>
      </c>
      <c r="M12" t="str">
        <f t="shared" si="5"/>
        <v/>
      </c>
      <c r="N12" t="str">
        <f t="shared" ref="N12:N75" si="13">IF(COUNTIF($A$348:$A$417,F12)=1,"Y","")</f>
        <v/>
      </c>
      <c r="O12" s="33" t="str">
        <f>IF(COUNTIF($A$354:$A$417,F12)=1,"MEAL","")</f>
        <v/>
      </c>
      <c r="P12" s="47" t="str">
        <f>IF(AND(VALUE(LEFT($B$3,2))=30,IF(O12="","",COUNTIF($O$11:O12,"MEAL"))&gt;2),"",IF(O12="","",COUNTIF($O$11:O12,"MEAL")))</f>
        <v/>
      </c>
      <c r="Q12" t="str">
        <f t="shared" ref="Q12:Q75" si="14">O12&amp;P12</f>
        <v/>
      </c>
      <c r="R12" t="str">
        <f t="shared" si="8"/>
        <v/>
      </c>
      <c r="S12" t="str">
        <f t="shared" ref="S12:S75" si="15">IF(F12="","",VLOOKUP(F12,$A$201:$J$345,10,FALSE)&amp;VLOOKUP(F12,$A$201:$J$345,8,FALSE))</f>
        <v/>
      </c>
      <c r="V12" t="s">
        <v>1145</v>
      </c>
      <c r="W12" t="str">
        <f t="shared" ref="W12:W18" si="16">IF(COUNTIF($S$11:$S$125,V12)&gt;0,"Y","")</f>
        <v/>
      </c>
    </row>
    <row r="13" spans="1:23" x14ac:dyDescent="0.25">
      <c r="A13">
        <v>3</v>
      </c>
      <c r="B13" t="str">
        <f>IF(ScoreHelper!C27="","",ScoreHelper!C27)</f>
        <v/>
      </c>
      <c r="C13" t="s">
        <v>1051</v>
      </c>
      <c r="D13" t="str">
        <f t="shared" si="9"/>
        <v/>
      </c>
      <c r="E13" t="str">
        <f>IF(B13="","",IF(COUNTIF($D$11:D13,D13)&gt;1,"DP",D13))</f>
        <v/>
      </c>
      <c r="F13" t="str">
        <f t="shared" si="10"/>
        <v/>
      </c>
      <c r="G13" t="str">
        <f t="shared" si="11"/>
        <v/>
      </c>
      <c r="H13" s="3" t="str">
        <f t="shared" si="4"/>
        <v/>
      </c>
      <c r="I13" t="str">
        <f t="shared" si="12"/>
        <v/>
      </c>
      <c r="J13" t="str">
        <f t="shared" si="5"/>
        <v/>
      </c>
      <c r="K13" t="str">
        <f t="shared" si="5"/>
        <v/>
      </c>
      <c r="L13" t="str">
        <f t="shared" si="5"/>
        <v/>
      </c>
      <c r="M13" t="str">
        <f t="shared" si="5"/>
        <v/>
      </c>
      <c r="N13" t="str">
        <f t="shared" si="13"/>
        <v/>
      </c>
      <c r="O13" s="33" t="str">
        <f t="shared" ref="O13:O75" si="17">IF(COUNTIF($A$354:$A$417,F13)=1,"MEAL","")</f>
        <v/>
      </c>
      <c r="P13" s="47" t="str">
        <f>IF(AND(VALUE(LEFT($B$3,2))=30,IF(O13="","",COUNTIF($O$11:O13,"MEAL"))&gt;2),"",IF(O13="","",COUNTIF($O$11:O13,"MEAL")))</f>
        <v/>
      </c>
      <c r="Q13" t="str">
        <f t="shared" si="14"/>
        <v/>
      </c>
      <c r="R13" t="str">
        <f t="shared" si="8"/>
        <v/>
      </c>
      <c r="S13" t="str">
        <f t="shared" si="15"/>
        <v/>
      </c>
      <c r="V13" t="s">
        <v>1146</v>
      </c>
      <c r="W13" t="str">
        <f t="shared" si="16"/>
        <v/>
      </c>
    </row>
    <row r="14" spans="1:23" x14ac:dyDescent="0.25">
      <c r="A14">
        <v>4</v>
      </c>
      <c r="B14" t="str">
        <f>IF(ScoreHelper!C28="","",ScoreHelper!C28)</f>
        <v/>
      </c>
      <c r="C14" t="s">
        <v>1051</v>
      </c>
      <c r="D14" t="str">
        <f t="shared" si="9"/>
        <v/>
      </c>
      <c r="E14" t="str">
        <f>IF(B14="","",IF(COUNTIF($D$11:D14,D14)&gt;1,"DP",D14))</f>
        <v/>
      </c>
      <c r="F14" t="str">
        <f t="shared" si="10"/>
        <v/>
      </c>
      <c r="G14" t="str">
        <f t="shared" si="11"/>
        <v/>
      </c>
      <c r="H14" s="3" t="str">
        <f t="shared" si="4"/>
        <v/>
      </c>
      <c r="I14" t="str">
        <f t="shared" si="12"/>
        <v/>
      </c>
      <c r="J14" t="str">
        <f t="shared" si="5"/>
        <v/>
      </c>
      <c r="K14" t="str">
        <f t="shared" si="5"/>
        <v/>
      </c>
      <c r="L14" t="str">
        <f t="shared" si="5"/>
        <v/>
      </c>
      <c r="M14" t="str">
        <f t="shared" si="5"/>
        <v/>
      </c>
      <c r="N14" t="str">
        <f t="shared" si="13"/>
        <v/>
      </c>
      <c r="O14" s="33" t="str">
        <f t="shared" si="17"/>
        <v/>
      </c>
      <c r="P14" s="47" t="str">
        <f>IF(AND(VALUE(LEFT($B$3,2))=30,IF(O14="","",COUNTIF($O$11:O14,"MEAL"))&gt;2),"",IF(O14="","",COUNTIF($O$11:O14,"MEAL")))</f>
        <v/>
      </c>
      <c r="Q14" t="str">
        <f t="shared" si="14"/>
        <v/>
      </c>
      <c r="R14" t="str">
        <f t="shared" si="8"/>
        <v/>
      </c>
      <c r="S14" t="str">
        <f t="shared" si="15"/>
        <v/>
      </c>
      <c r="V14" t="s">
        <v>1147</v>
      </c>
      <c r="W14" t="str">
        <f t="shared" si="16"/>
        <v/>
      </c>
    </row>
    <row r="15" spans="1:23" x14ac:dyDescent="0.25">
      <c r="A15">
        <v>5</v>
      </c>
      <c r="B15" t="str">
        <f>IF(ScoreHelper!C29="","",ScoreHelper!C29)</f>
        <v/>
      </c>
      <c r="C15" t="s">
        <v>1051</v>
      </c>
      <c r="D15" t="str">
        <f t="shared" si="9"/>
        <v/>
      </c>
      <c r="E15" t="str">
        <f>IF(B15="","",IF(COUNTIF($D$11:D15,D15)&gt;1,"DP",D15))</f>
        <v/>
      </c>
      <c r="F15" t="str">
        <f t="shared" si="10"/>
        <v/>
      </c>
      <c r="G15" t="str">
        <f t="shared" si="11"/>
        <v/>
      </c>
      <c r="H15" s="3" t="str">
        <f t="shared" si="4"/>
        <v/>
      </c>
      <c r="I15" t="str">
        <f t="shared" si="12"/>
        <v/>
      </c>
      <c r="J15" t="str">
        <f t="shared" si="5"/>
        <v/>
      </c>
      <c r="K15" t="str">
        <f t="shared" si="5"/>
        <v/>
      </c>
      <c r="L15" t="str">
        <f t="shared" si="5"/>
        <v/>
      </c>
      <c r="M15" t="str">
        <f t="shared" si="5"/>
        <v/>
      </c>
      <c r="N15" t="str">
        <f t="shared" si="13"/>
        <v/>
      </c>
      <c r="O15" s="33" t="str">
        <f t="shared" si="17"/>
        <v/>
      </c>
      <c r="P15" s="47" t="str">
        <f>IF(AND(VALUE(LEFT($B$3,2))=30,IF(O15="","",COUNTIF($O$11:O15,"MEAL"))&gt;2),"",IF(O15="","",COUNTIF($O$11:O15,"MEAL")))</f>
        <v/>
      </c>
      <c r="Q15" t="str">
        <f t="shared" si="14"/>
        <v/>
      </c>
      <c r="R15" t="str">
        <f t="shared" si="8"/>
        <v/>
      </c>
      <c r="S15" t="str">
        <f t="shared" si="15"/>
        <v/>
      </c>
      <c r="V15" t="s">
        <v>1148</v>
      </c>
      <c r="W15" t="str">
        <f t="shared" si="16"/>
        <v/>
      </c>
    </row>
    <row r="16" spans="1:23" x14ac:dyDescent="0.25">
      <c r="A16">
        <v>6</v>
      </c>
      <c r="B16" t="str">
        <f>IF(ScoreHelper!C30="","",ScoreHelper!C30)</f>
        <v/>
      </c>
      <c r="C16" t="s">
        <v>1051</v>
      </c>
      <c r="D16" t="str">
        <f t="shared" si="9"/>
        <v/>
      </c>
      <c r="E16" t="str">
        <f>IF(B16="","",IF(COUNTIF($D$11:D16,D16)&gt;1,"DP",D16))</f>
        <v/>
      </c>
      <c r="F16" t="str">
        <f t="shared" si="10"/>
        <v/>
      </c>
      <c r="G16" t="str">
        <f t="shared" si="11"/>
        <v/>
      </c>
      <c r="H16" s="3" t="str">
        <f t="shared" si="4"/>
        <v/>
      </c>
      <c r="I16" t="str">
        <f t="shared" si="12"/>
        <v/>
      </c>
      <c r="J16" t="str">
        <f t="shared" si="5"/>
        <v/>
      </c>
      <c r="K16" t="str">
        <f t="shared" si="5"/>
        <v/>
      </c>
      <c r="L16" t="str">
        <f t="shared" si="5"/>
        <v/>
      </c>
      <c r="M16" t="str">
        <f t="shared" si="5"/>
        <v/>
      </c>
      <c r="N16" t="str">
        <f t="shared" si="13"/>
        <v/>
      </c>
      <c r="O16" s="33" t="str">
        <f t="shared" si="17"/>
        <v/>
      </c>
      <c r="P16" s="47" t="str">
        <f>IF(AND(VALUE(LEFT($B$3,2))=30,IF(O16="","",COUNTIF($O$11:O16,"MEAL"))&gt;2),"",IF(O16="","",COUNTIF($O$11:O16,"MEAL")))</f>
        <v/>
      </c>
      <c r="Q16" t="str">
        <f t="shared" si="14"/>
        <v/>
      </c>
      <c r="R16" t="str">
        <f t="shared" si="8"/>
        <v/>
      </c>
      <c r="S16" t="str">
        <f t="shared" si="15"/>
        <v/>
      </c>
      <c r="V16" t="s">
        <v>1149</v>
      </c>
      <c r="W16" t="str">
        <f t="shared" si="16"/>
        <v/>
      </c>
    </row>
    <row r="17" spans="1:23" x14ac:dyDescent="0.25">
      <c r="A17">
        <v>7</v>
      </c>
      <c r="B17" t="str">
        <f>IF(ScoreHelper!C31="","",ScoreHelper!C31)</f>
        <v/>
      </c>
      <c r="C17" t="s">
        <v>1051</v>
      </c>
      <c r="D17" t="str">
        <f t="shared" si="9"/>
        <v/>
      </c>
      <c r="E17" t="str">
        <f>IF(B17="","",IF(COUNTIF($D$11:D17,D17)&gt;1,"DP",D17))</f>
        <v/>
      </c>
      <c r="F17" t="str">
        <f t="shared" si="10"/>
        <v/>
      </c>
      <c r="G17" t="str">
        <f t="shared" si="11"/>
        <v/>
      </c>
      <c r="H17" s="3" t="str">
        <f t="shared" si="4"/>
        <v/>
      </c>
      <c r="I17" t="str">
        <f t="shared" si="12"/>
        <v/>
      </c>
      <c r="J17" t="str">
        <f t="shared" si="5"/>
        <v/>
      </c>
      <c r="K17" t="str">
        <f t="shared" si="5"/>
        <v/>
      </c>
      <c r="L17" t="str">
        <f t="shared" si="5"/>
        <v/>
      </c>
      <c r="M17" t="str">
        <f t="shared" si="5"/>
        <v/>
      </c>
      <c r="N17" t="str">
        <f t="shared" si="13"/>
        <v/>
      </c>
      <c r="O17" s="33" t="str">
        <f t="shared" si="17"/>
        <v/>
      </c>
      <c r="P17" s="47" t="str">
        <f>IF(AND(VALUE(LEFT($B$3,2))=30,IF(O17="","",COUNTIF($O$11:O17,"MEAL"))&gt;2),"",IF(O17="","",COUNTIF($O$11:O17,"MEAL")))</f>
        <v/>
      </c>
      <c r="Q17" t="str">
        <f t="shared" si="14"/>
        <v/>
      </c>
      <c r="R17" t="str">
        <f t="shared" si="8"/>
        <v/>
      </c>
      <c r="S17" t="str">
        <f t="shared" si="15"/>
        <v/>
      </c>
      <c r="V17" t="s">
        <v>1150</v>
      </c>
      <c r="W17" t="str">
        <f t="shared" si="16"/>
        <v/>
      </c>
    </row>
    <row r="18" spans="1:23" x14ac:dyDescent="0.25">
      <c r="A18">
        <v>8</v>
      </c>
      <c r="B18" t="str">
        <f>IF(ScoreHelper!C32="","",ScoreHelper!C32)</f>
        <v/>
      </c>
      <c r="C18" t="s">
        <v>1051</v>
      </c>
      <c r="D18" t="str">
        <f t="shared" si="9"/>
        <v/>
      </c>
      <c r="E18" t="str">
        <f>IF(B18="","",IF(COUNTIF($D$11:D18,D18)&gt;1,"DP",D18))</f>
        <v/>
      </c>
      <c r="F18" t="str">
        <f t="shared" si="10"/>
        <v/>
      </c>
      <c r="G18" t="str">
        <f t="shared" si="11"/>
        <v/>
      </c>
      <c r="H18" s="3" t="str">
        <f t="shared" si="4"/>
        <v/>
      </c>
      <c r="I18" t="str">
        <f t="shared" si="12"/>
        <v/>
      </c>
      <c r="J18" t="str">
        <f t="shared" si="5"/>
        <v/>
      </c>
      <c r="K18" t="str">
        <f t="shared" si="5"/>
        <v/>
      </c>
      <c r="L18" t="str">
        <f t="shared" si="5"/>
        <v/>
      </c>
      <c r="M18" t="str">
        <f t="shared" si="5"/>
        <v/>
      </c>
      <c r="N18" t="str">
        <f t="shared" si="13"/>
        <v/>
      </c>
      <c r="O18" s="33" t="str">
        <f t="shared" si="17"/>
        <v/>
      </c>
      <c r="P18" s="47" t="str">
        <f>IF(AND(VALUE(LEFT($B$3,2))=30,IF(O18="","",COUNTIF($O$11:O18,"MEAL"))&gt;2),"",IF(O18="","",COUNTIF($O$11:O18,"MEAL")))</f>
        <v/>
      </c>
      <c r="Q18" t="str">
        <f t="shared" si="14"/>
        <v/>
      </c>
      <c r="R18" t="str">
        <f t="shared" si="8"/>
        <v/>
      </c>
      <c r="S18" t="str">
        <f t="shared" si="15"/>
        <v/>
      </c>
      <c r="V18" t="s">
        <v>1151</v>
      </c>
      <c r="W18" t="str">
        <f t="shared" si="16"/>
        <v/>
      </c>
    </row>
    <row r="19" spans="1:23" x14ac:dyDescent="0.25">
      <c r="A19">
        <v>9</v>
      </c>
      <c r="B19" t="str">
        <f>IF(ScoreHelper!C33="","",ScoreHelper!C33)</f>
        <v/>
      </c>
      <c r="C19" t="s">
        <v>1051</v>
      </c>
      <c r="D19" t="str">
        <f t="shared" si="9"/>
        <v/>
      </c>
      <c r="E19" t="str">
        <f>IF(B19="","",IF(COUNTIF($D$11:D19,D19)&gt;1,"DP",D19))</f>
        <v/>
      </c>
      <c r="F19" t="str">
        <f t="shared" si="10"/>
        <v/>
      </c>
      <c r="G19" t="str">
        <f t="shared" si="11"/>
        <v/>
      </c>
      <c r="H19" s="3" t="str">
        <f t="shared" si="4"/>
        <v/>
      </c>
      <c r="I19" t="str">
        <f t="shared" si="12"/>
        <v/>
      </c>
      <c r="J19" t="str">
        <f t="shared" si="5"/>
        <v/>
      </c>
      <c r="K19" t="str">
        <f t="shared" si="5"/>
        <v/>
      </c>
      <c r="L19" t="str">
        <f t="shared" si="5"/>
        <v/>
      </c>
      <c r="M19" t="str">
        <f t="shared" si="5"/>
        <v/>
      </c>
      <c r="N19" t="str">
        <f t="shared" si="13"/>
        <v/>
      </c>
      <c r="O19" s="33" t="str">
        <f t="shared" si="17"/>
        <v/>
      </c>
      <c r="P19" s="47" t="str">
        <f>IF(AND(VALUE(LEFT($B$3,2))=30,IF(O19="","",COUNTIF($O$11:O19,"MEAL"))&gt;2),"",IF(O19="","",COUNTIF($O$11:O19,"MEAL")))</f>
        <v/>
      </c>
      <c r="Q19" t="str">
        <f t="shared" si="14"/>
        <v/>
      </c>
      <c r="R19" t="str">
        <f t="shared" si="8"/>
        <v/>
      </c>
      <c r="S19" t="str">
        <f t="shared" si="15"/>
        <v/>
      </c>
    </row>
    <row r="20" spans="1:23" x14ac:dyDescent="0.25">
      <c r="A20">
        <v>10</v>
      </c>
      <c r="B20" t="str">
        <f>IF(ScoreHelper!C34="","",ScoreHelper!C34)</f>
        <v/>
      </c>
      <c r="C20" t="s">
        <v>1051</v>
      </c>
      <c r="D20" t="str">
        <f t="shared" si="9"/>
        <v/>
      </c>
      <c r="E20" t="str">
        <f>IF(B20="","",IF(COUNTIF($D$11:D20,D20)&gt;1,"DP",D20))</f>
        <v/>
      </c>
      <c r="F20" t="str">
        <f t="shared" si="10"/>
        <v/>
      </c>
      <c r="G20" t="str">
        <f t="shared" si="11"/>
        <v/>
      </c>
      <c r="H20" s="3" t="str">
        <f t="shared" si="4"/>
        <v/>
      </c>
      <c r="I20" t="str">
        <f t="shared" si="12"/>
        <v/>
      </c>
      <c r="J20" t="str">
        <f t="shared" si="5"/>
        <v/>
      </c>
      <c r="K20" t="str">
        <f t="shared" si="5"/>
        <v/>
      </c>
      <c r="L20" t="str">
        <f t="shared" si="5"/>
        <v/>
      </c>
      <c r="M20" t="str">
        <f t="shared" si="5"/>
        <v/>
      </c>
      <c r="N20" t="str">
        <f t="shared" si="13"/>
        <v/>
      </c>
      <c r="O20" s="33" t="str">
        <f t="shared" si="17"/>
        <v/>
      </c>
      <c r="P20" s="47" t="str">
        <f>IF(AND(VALUE(LEFT($B$3,2))=30,IF(O20="","",COUNTIF($O$11:O20,"MEAL"))&gt;2),"",IF(O20="","",COUNTIF($O$11:O20,"MEAL")))</f>
        <v/>
      </c>
      <c r="Q20" t="str">
        <f t="shared" si="14"/>
        <v/>
      </c>
      <c r="R20" t="str">
        <f t="shared" si="8"/>
        <v/>
      </c>
      <c r="S20" t="str">
        <f t="shared" si="15"/>
        <v/>
      </c>
    </row>
    <row r="21" spans="1:23" x14ac:dyDescent="0.25">
      <c r="A21">
        <v>11</v>
      </c>
      <c r="B21" t="str">
        <f>IF(ScoreHelper!C35="","",ScoreHelper!C35)</f>
        <v/>
      </c>
      <c r="C21" t="s">
        <v>1051</v>
      </c>
      <c r="D21" t="str">
        <f t="shared" si="9"/>
        <v/>
      </c>
      <c r="E21" t="str">
        <f>IF(B21="","",IF(COUNTIF($D$11:D21,D21)&gt;1,"DP",D21))</f>
        <v/>
      </c>
      <c r="F21" t="str">
        <f t="shared" si="10"/>
        <v/>
      </c>
      <c r="G21" t="str">
        <f t="shared" si="11"/>
        <v/>
      </c>
      <c r="H21" s="3" t="str">
        <f t="shared" si="4"/>
        <v/>
      </c>
      <c r="I21" t="str">
        <f t="shared" si="12"/>
        <v/>
      </c>
      <c r="J21" t="str">
        <f t="shared" si="5"/>
        <v/>
      </c>
      <c r="K21" t="str">
        <f t="shared" si="5"/>
        <v/>
      </c>
      <c r="L21" t="str">
        <f t="shared" si="5"/>
        <v/>
      </c>
      <c r="M21" t="str">
        <f t="shared" si="5"/>
        <v/>
      </c>
      <c r="N21" t="str">
        <f t="shared" si="13"/>
        <v/>
      </c>
      <c r="O21" s="33" t="str">
        <f t="shared" si="17"/>
        <v/>
      </c>
      <c r="P21" s="47" t="str">
        <f>IF(AND(VALUE(LEFT($B$3,2))=30,IF(O21="","",COUNTIF($O$11:O21,"MEAL"))&gt;2),"",IF(O21="","",COUNTIF($O$11:O21,"MEAL")))</f>
        <v/>
      </c>
      <c r="Q21" t="str">
        <f t="shared" si="14"/>
        <v/>
      </c>
      <c r="R21" t="str">
        <f t="shared" si="8"/>
        <v/>
      </c>
      <c r="S21" t="str">
        <f t="shared" si="15"/>
        <v/>
      </c>
    </row>
    <row r="22" spans="1:23" x14ac:dyDescent="0.25">
      <c r="A22">
        <v>12</v>
      </c>
      <c r="B22" t="str">
        <f>IF(ScoreHelper!C36="","",ScoreHelper!C36)</f>
        <v/>
      </c>
      <c r="C22" t="s">
        <v>1051</v>
      </c>
      <c r="D22" t="str">
        <f t="shared" si="9"/>
        <v/>
      </c>
      <c r="E22" t="str">
        <f>IF(B22="","",IF(COUNTIF($D$11:D22,D22)&gt;1,"DP",D22))</f>
        <v/>
      </c>
      <c r="F22" t="str">
        <f t="shared" si="10"/>
        <v/>
      </c>
      <c r="G22" t="str">
        <f t="shared" si="11"/>
        <v/>
      </c>
      <c r="H22" s="3" t="str">
        <f t="shared" si="4"/>
        <v/>
      </c>
      <c r="I22" t="str">
        <f t="shared" si="12"/>
        <v/>
      </c>
      <c r="J22" t="str">
        <f t="shared" si="5"/>
        <v/>
      </c>
      <c r="K22" t="str">
        <f t="shared" si="5"/>
        <v/>
      </c>
      <c r="L22" t="str">
        <f t="shared" si="5"/>
        <v/>
      </c>
      <c r="M22" t="str">
        <f t="shared" si="5"/>
        <v/>
      </c>
      <c r="N22" t="str">
        <f t="shared" si="13"/>
        <v/>
      </c>
      <c r="O22" s="33" t="str">
        <f t="shared" si="17"/>
        <v/>
      </c>
      <c r="P22" s="47" t="str">
        <f>IF(AND(VALUE(LEFT($B$3,2))=30,IF(O22="","",COUNTIF($O$11:O22,"MEAL"))&gt;2),"",IF(O22="","",COUNTIF($O$11:O22,"MEAL")))</f>
        <v/>
      </c>
      <c r="Q22" t="str">
        <f t="shared" si="14"/>
        <v/>
      </c>
      <c r="R22" t="str">
        <f t="shared" si="8"/>
        <v/>
      </c>
      <c r="S22" t="str">
        <f t="shared" si="15"/>
        <v/>
      </c>
    </row>
    <row r="23" spans="1:23" x14ac:dyDescent="0.25">
      <c r="A23">
        <v>13</v>
      </c>
      <c r="B23" t="str">
        <f>IF(ScoreHelper!C37="","",ScoreHelper!C37)</f>
        <v/>
      </c>
      <c r="C23" t="s">
        <v>1051</v>
      </c>
      <c r="D23" t="str">
        <f t="shared" si="9"/>
        <v/>
      </c>
      <c r="E23" t="str">
        <f>IF(B23="","",IF(COUNTIF($D$11:D23,D23)&gt;1,"DP",D23))</f>
        <v/>
      </c>
      <c r="F23" t="str">
        <f t="shared" si="10"/>
        <v/>
      </c>
      <c r="G23" t="str">
        <f t="shared" si="11"/>
        <v/>
      </c>
      <c r="H23" s="3" t="str">
        <f t="shared" si="4"/>
        <v/>
      </c>
      <c r="I23" t="str">
        <f t="shared" si="12"/>
        <v/>
      </c>
      <c r="J23" t="str">
        <f t="shared" si="5"/>
        <v/>
      </c>
      <c r="K23" t="str">
        <f t="shared" si="5"/>
        <v/>
      </c>
      <c r="L23" t="str">
        <f t="shared" si="5"/>
        <v/>
      </c>
      <c r="M23" t="str">
        <f t="shared" si="5"/>
        <v/>
      </c>
      <c r="N23" t="str">
        <f t="shared" si="13"/>
        <v/>
      </c>
      <c r="O23" s="33" t="str">
        <f t="shared" si="17"/>
        <v/>
      </c>
      <c r="P23" s="47" t="str">
        <f>IF(AND(VALUE(LEFT($B$3,2))=30,IF(O23="","",COUNTIF($O$11:O23,"MEAL"))&gt;2),"",IF(O23="","",COUNTIF($O$11:O23,"MEAL")))</f>
        <v/>
      </c>
      <c r="Q23" t="str">
        <f t="shared" si="14"/>
        <v/>
      </c>
      <c r="R23" t="str">
        <f t="shared" si="8"/>
        <v/>
      </c>
      <c r="S23" t="str">
        <f t="shared" si="15"/>
        <v/>
      </c>
    </row>
    <row r="24" spans="1:23" x14ac:dyDescent="0.25">
      <c r="A24">
        <v>14</v>
      </c>
      <c r="B24" t="str">
        <f>IF(ScoreHelper!C38="","",ScoreHelper!C38)</f>
        <v/>
      </c>
      <c r="C24" t="s">
        <v>1051</v>
      </c>
      <c r="D24" t="str">
        <f t="shared" si="9"/>
        <v/>
      </c>
      <c r="E24" t="str">
        <f>IF(B24="","",IF(COUNTIF($D$11:D24,D24)&gt;1,"DP",D24))</f>
        <v/>
      </c>
      <c r="F24" t="str">
        <f t="shared" si="10"/>
        <v/>
      </c>
      <c r="G24" t="str">
        <f t="shared" si="11"/>
        <v/>
      </c>
      <c r="H24" s="3" t="str">
        <f t="shared" si="4"/>
        <v/>
      </c>
      <c r="I24" t="str">
        <f t="shared" si="12"/>
        <v/>
      </c>
      <c r="J24" t="str">
        <f t="shared" si="5"/>
        <v/>
      </c>
      <c r="K24" t="str">
        <f t="shared" si="5"/>
        <v/>
      </c>
      <c r="L24" t="str">
        <f t="shared" si="5"/>
        <v/>
      </c>
      <c r="M24" t="str">
        <f t="shared" si="5"/>
        <v/>
      </c>
      <c r="N24" t="str">
        <f t="shared" si="13"/>
        <v/>
      </c>
      <c r="O24" s="33" t="str">
        <f t="shared" si="17"/>
        <v/>
      </c>
      <c r="P24" s="47" t="str">
        <f>IF(AND(VALUE(LEFT($B$3,2))=30,IF(O24="","",COUNTIF($O$11:O24,"MEAL"))&gt;2),"",IF(O24="","",COUNTIF($O$11:O24,"MEAL")))</f>
        <v/>
      </c>
      <c r="Q24" t="str">
        <f t="shared" si="14"/>
        <v/>
      </c>
      <c r="R24" t="str">
        <f t="shared" si="8"/>
        <v/>
      </c>
      <c r="S24" t="str">
        <f t="shared" si="15"/>
        <v/>
      </c>
    </row>
    <row r="25" spans="1:23" x14ac:dyDescent="0.25">
      <c r="A25">
        <v>15</v>
      </c>
      <c r="B25" t="str">
        <f>IF(ScoreHelper!C39="","",ScoreHelper!C39)</f>
        <v/>
      </c>
      <c r="C25" t="s">
        <v>1051</v>
      </c>
      <c r="D25" t="str">
        <f t="shared" si="9"/>
        <v/>
      </c>
      <c r="E25" t="str">
        <f>IF(B25="","",IF(COUNTIF($D$11:D25,D25)&gt;1,"DP",D25))</f>
        <v/>
      </c>
      <c r="F25" t="str">
        <f t="shared" si="10"/>
        <v/>
      </c>
      <c r="G25" t="str">
        <f t="shared" si="11"/>
        <v/>
      </c>
      <c r="H25" s="3" t="str">
        <f t="shared" si="4"/>
        <v/>
      </c>
      <c r="I25" t="str">
        <f t="shared" si="12"/>
        <v/>
      </c>
      <c r="J25" t="str">
        <f t="shared" si="5"/>
        <v/>
      </c>
      <c r="K25" t="str">
        <f t="shared" si="5"/>
        <v/>
      </c>
      <c r="L25" t="str">
        <f t="shared" si="5"/>
        <v/>
      </c>
      <c r="M25" t="str">
        <f t="shared" si="5"/>
        <v/>
      </c>
      <c r="N25" t="str">
        <f t="shared" si="13"/>
        <v/>
      </c>
      <c r="O25" s="33" t="str">
        <f t="shared" si="17"/>
        <v/>
      </c>
      <c r="P25" s="47" t="str">
        <f>IF(AND(VALUE(LEFT($B$3,2))=30,IF(O25="","",COUNTIF($O$11:O25,"MEAL"))&gt;2),"",IF(O25="","",COUNTIF($O$11:O25,"MEAL")))</f>
        <v/>
      </c>
      <c r="Q25" t="str">
        <f t="shared" si="14"/>
        <v/>
      </c>
      <c r="R25" t="str">
        <f t="shared" si="8"/>
        <v/>
      </c>
      <c r="S25" t="str">
        <f t="shared" si="15"/>
        <v/>
      </c>
    </row>
    <row r="26" spans="1:23" x14ac:dyDescent="0.25">
      <c r="A26">
        <v>16</v>
      </c>
      <c r="B26" t="str">
        <f>IF(ScoreHelper!C40="","",ScoreHelper!C40)</f>
        <v/>
      </c>
      <c r="C26" t="s">
        <v>1051</v>
      </c>
      <c r="D26" t="str">
        <f t="shared" si="9"/>
        <v/>
      </c>
      <c r="E26" t="str">
        <f>IF(B26="","",IF(COUNTIF($D$11:D26,D26)&gt;1,"DP",D26))</f>
        <v/>
      </c>
      <c r="F26" t="str">
        <f t="shared" si="10"/>
        <v/>
      </c>
      <c r="G26" t="str">
        <f t="shared" si="11"/>
        <v/>
      </c>
      <c r="H26" s="3" t="str">
        <f t="shared" si="4"/>
        <v/>
      </c>
      <c r="I26" t="str">
        <f t="shared" si="12"/>
        <v/>
      </c>
      <c r="J26" t="str">
        <f t="shared" si="5"/>
        <v/>
      </c>
      <c r="K26" t="str">
        <f t="shared" si="5"/>
        <v/>
      </c>
      <c r="L26" t="str">
        <f t="shared" si="5"/>
        <v/>
      </c>
      <c r="M26" t="str">
        <f t="shared" si="5"/>
        <v/>
      </c>
      <c r="N26" t="str">
        <f t="shared" si="13"/>
        <v/>
      </c>
      <c r="O26" s="33" t="str">
        <f t="shared" si="17"/>
        <v/>
      </c>
      <c r="P26" s="47" t="str">
        <f>IF(AND(VALUE(LEFT($B$3,2))=30,IF(O26="","",COUNTIF($O$11:O26,"MEAL"))&gt;2),"",IF(O26="","",COUNTIF($O$11:O26,"MEAL")))</f>
        <v/>
      </c>
      <c r="Q26" t="str">
        <f t="shared" si="14"/>
        <v/>
      </c>
      <c r="R26" t="str">
        <f t="shared" si="8"/>
        <v/>
      </c>
      <c r="S26" t="str">
        <f t="shared" si="15"/>
        <v/>
      </c>
    </row>
    <row r="27" spans="1:23" x14ac:dyDescent="0.25">
      <c r="A27">
        <v>17</v>
      </c>
      <c r="B27" t="str">
        <f>IF(ScoreHelper!C41="","",ScoreHelper!C41)</f>
        <v/>
      </c>
      <c r="C27" t="s">
        <v>1051</v>
      </c>
      <c r="D27" t="str">
        <f t="shared" si="9"/>
        <v/>
      </c>
      <c r="E27" t="str">
        <f>IF(B27="","",IF(COUNTIF($D$11:D27,D27)&gt;1,"DP",D27))</f>
        <v/>
      </c>
      <c r="F27" t="str">
        <f t="shared" si="10"/>
        <v/>
      </c>
      <c r="G27" t="str">
        <f t="shared" si="11"/>
        <v/>
      </c>
      <c r="H27" s="3" t="str">
        <f t="shared" si="4"/>
        <v/>
      </c>
      <c r="I27" t="str">
        <f t="shared" si="12"/>
        <v/>
      </c>
      <c r="J27" t="str">
        <f t="shared" si="12"/>
        <v/>
      </c>
      <c r="K27" t="str">
        <f t="shared" si="12"/>
        <v/>
      </c>
      <c r="L27" t="str">
        <f t="shared" si="12"/>
        <v/>
      </c>
      <c r="M27" t="str">
        <f t="shared" si="12"/>
        <v/>
      </c>
      <c r="N27" t="str">
        <f t="shared" si="13"/>
        <v/>
      </c>
      <c r="O27" s="33" t="str">
        <f t="shared" si="17"/>
        <v/>
      </c>
      <c r="P27" s="47" t="str">
        <f>IF(AND(VALUE(LEFT($B$3,2))=30,IF(O27="","",COUNTIF($O$11:O27,"MEAL"))&gt;2),"",IF(O27="","",COUNTIF($O$11:O27,"MEAL")))</f>
        <v/>
      </c>
      <c r="Q27" t="str">
        <f t="shared" si="14"/>
        <v/>
      </c>
      <c r="R27" t="str">
        <f t="shared" si="8"/>
        <v/>
      </c>
      <c r="S27" t="str">
        <f t="shared" si="15"/>
        <v/>
      </c>
    </row>
    <row r="28" spans="1:23" x14ac:dyDescent="0.25">
      <c r="A28">
        <v>18</v>
      </c>
      <c r="B28" t="str">
        <f>IF(ScoreHelper!C42="","",ScoreHelper!C42)</f>
        <v/>
      </c>
      <c r="C28" t="s">
        <v>1051</v>
      </c>
      <c r="D28" t="str">
        <f t="shared" si="9"/>
        <v/>
      </c>
      <c r="E28" t="str">
        <f>IF(B28="","",IF(COUNTIF($D$11:D28,D28)&gt;1,"DP",D28))</f>
        <v/>
      </c>
      <c r="F28" t="str">
        <f t="shared" si="10"/>
        <v/>
      </c>
      <c r="G28" t="str">
        <f t="shared" si="11"/>
        <v/>
      </c>
      <c r="H28" s="3" t="str">
        <f t="shared" si="4"/>
        <v/>
      </c>
      <c r="I28" t="str">
        <f t="shared" si="12"/>
        <v/>
      </c>
      <c r="J28" t="str">
        <f t="shared" si="12"/>
        <v/>
      </c>
      <c r="K28" t="str">
        <f t="shared" si="12"/>
        <v/>
      </c>
      <c r="L28" t="str">
        <f t="shared" si="12"/>
        <v/>
      </c>
      <c r="M28" t="str">
        <f t="shared" si="12"/>
        <v/>
      </c>
      <c r="N28" t="str">
        <f t="shared" si="13"/>
        <v/>
      </c>
      <c r="O28" s="33" t="str">
        <f t="shared" si="17"/>
        <v/>
      </c>
      <c r="P28" s="47" t="str">
        <f>IF(AND(VALUE(LEFT($B$3,2))=30,IF(O28="","",COUNTIF($O$11:O28,"MEAL"))&gt;2),"",IF(O28="","",COUNTIF($O$11:O28,"MEAL")))</f>
        <v/>
      </c>
      <c r="Q28" t="str">
        <f t="shared" si="14"/>
        <v/>
      </c>
      <c r="R28" t="str">
        <f t="shared" si="8"/>
        <v/>
      </c>
      <c r="S28" t="str">
        <f t="shared" si="15"/>
        <v/>
      </c>
    </row>
    <row r="29" spans="1:23" x14ac:dyDescent="0.25">
      <c r="A29">
        <v>19</v>
      </c>
      <c r="B29" t="str">
        <f>IF(ScoreHelper!C43="","",ScoreHelper!C43)</f>
        <v/>
      </c>
      <c r="C29" t="s">
        <v>1051</v>
      </c>
      <c r="D29" t="str">
        <f t="shared" si="9"/>
        <v/>
      </c>
      <c r="E29" t="str">
        <f>IF(B29="","",IF(COUNTIF($D$11:D29,D29)&gt;1,"DP",D29))</f>
        <v/>
      </c>
      <c r="F29" t="str">
        <f t="shared" si="10"/>
        <v/>
      </c>
      <c r="G29" t="str">
        <f t="shared" si="11"/>
        <v/>
      </c>
      <c r="H29" s="3" t="str">
        <f t="shared" si="4"/>
        <v/>
      </c>
      <c r="I29" t="str">
        <f t="shared" si="12"/>
        <v/>
      </c>
      <c r="J29" t="str">
        <f t="shared" si="12"/>
        <v/>
      </c>
      <c r="K29" t="str">
        <f t="shared" si="12"/>
        <v/>
      </c>
      <c r="L29" t="str">
        <f t="shared" si="12"/>
        <v/>
      </c>
      <c r="M29" t="str">
        <f t="shared" si="12"/>
        <v/>
      </c>
      <c r="N29" t="str">
        <f t="shared" si="13"/>
        <v/>
      </c>
      <c r="O29" s="33" t="str">
        <f t="shared" si="17"/>
        <v/>
      </c>
      <c r="P29" s="47" t="str">
        <f>IF(AND(VALUE(LEFT($B$3,2))=30,IF(O29="","",COUNTIF($O$11:O29,"MEAL"))&gt;2),"",IF(O29="","",COUNTIF($O$11:O29,"MEAL")))</f>
        <v/>
      </c>
      <c r="Q29" t="str">
        <f t="shared" si="14"/>
        <v/>
      </c>
      <c r="R29" t="str">
        <f t="shared" si="8"/>
        <v/>
      </c>
      <c r="S29" t="str">
        <f t="shared" si="15"/>
        <v/>
      </c>
    </row>
    <row r="30" spans="1:23" x14ac:dyDescent="0.25">
      <c r="A30">
        <v>20</v>
      </c>
      <c r="B30" t="str">
        <f>IF(ScoreHelper!C44="","",ScoreHelper!C44)</f>
        <v/>
      </c>
      <c r="C30" t="s">
        <v>1051</v>
      </c>
      <c r="D30" t="str">
        <f t="shared" si="9"/>
        <v/>
      </c>
      <c r="E30" t="str">
        <f>IF(B30="","",IF(COUNTIF($D$11:D30,D30)&gt;1,"DP",D30))</f>
        <v/>
      </c>
      <c r="F30" t="str">
        <f t="shared" si="10"/>
        <v/>
      </c>
      <c r="G30" t="str">
        <f t="shared" si="11"/>
        <v/>
      </c>
      <c r="H30" s="3" t="str">
        <f t="shared" si="4"/>
        <v/>
      </c>
      <c r="I30" t="str">
        <f t="shared" si="12"/>
        <v/>
      </c>
      <c r="J30" t="str">
        <f t="shared" si="12"/>
        <v/>
      </c>
      <c r="K30" t="str">
        <f t="shared" si="12"/>
        <v/>
      </c>
      <c r="L30" t="str">
        <f t="shared" si="12"/>
        <v/>
      </c>
      <c r="M30" t="str">
        <f t="shared" si="12"/>
        <v/>
      </c>
      <c r="N30" t="str">
        <f t="shared" si="13"/>
        <v/>
      </c>
      <c r="O30" s="33" t="str">
        <f t="shared" si="17"/>
        <v/>
      </c>
      <c r="P30" s="47" t="str">
        <f>IF(AND(VALUE(LEFT($B$3,2))=30,IF(O30="","",COUNTIF($O$11:O30,"MEAL"))&gt;2),"",IF(O30="","",COUNTIF($O$11:O30,"MEAL")))</f>
        <v/>
      </c>
      <c r="Q30" t="str">
        <f t="shared" si="14"/>
        <v/>
      </c>
      <c r="R30" t="str">
        <f t="shared" si="8"/>
        <v/>
      </c>
      <c r="S30" t="str">
        <f t="shared" si="15"/>
        <v/>
      </c>
    </row>
    <row r="31" spans="1:23" x14ac:dyDescent="0.25">
      <c r="A31">
        <v>21</v>
      </c>
      <c r="B31" t="str">
        <f>IF(ScoreHelper!C45="","",ScoreHelper!C45)</f>
        <v/>
      </c>
      <c r="C31" t="s">
        <v>1051</v>
      </c>
      <c r="D31" t="str">
        <f t="shared" si="9"/>
        <v/>
      </c>
      <c r="E31" t="str">
        <f>IF(B31="","",IF(COUNTIF($D$11:D31,D31)&gt;1,"DP",D31))</f>
        <v/>
      </c>
      <c r="F31" t="str">
        <f t="shared" si="10"/>
        <v/>
      </c>
      <c r="G31" t="str">
        <f t="shared" si="11"/>
        <v/>
      </c>
      <c r="H31" s="3" t="str">
        <f t="shared" si="4"/>
        <v/>
      </c>
      <c r="I31" t="str">
        <f t="shared" si="12"/>
        <v/>
      </c>
      <c r="J31" t="str">
        <f t="shared" si="12"/>
        <v/>
      </c>
      <c r="K31" t="str">
        <f t="shared" si="12"/>
        <v/>
      </c>
      <c r="L31" t="str">
        <f t="shared" si="12"/>
        <v/>
      </c>
      <c r="M31" t="str">
        <f t="shared" si="12"/>
        <v/>
      </c>
      <c r="N31" t="str">
        <f t="shared" si="13"/>
        <v/>
      </c>
      <c r="O31" s="33" t="str">
        <f t="shared" si="17"/>
        <v/>
      </c>
      <c r="P31" s="47" t="str">
        <f>IF(AND(VALUE(LEFT($B$3,2))=30,IF(O31="","",COUNTIF($O$11:O31,"MEAL"))&gt;2),"",IF(O31="","",COUNTIF($O$11:O31,"MEAL")))</f>
        <v/>
      </c>
      <c r="Q31" t="str">
        <f t="shared" si="14"/>
        <v/>
      </c>
      <c r="R31" t="str">
        <f t="shared" si="8"/>
        <v/>
      </c>
      <c r="S31" t="str">
        <f t="shared" si="15"/>
        <v/>
      </c>
    </row>
    <row r="32" spans="1:23" x14ac:dyDescent="0.25">
      <c r="A32">
        <v>22</v>
      </c>
      <c r="B32" t="str">
        <f>IF(ScoreHelper!C46="","",ScoreHelper!C46)</f>
        <v/>
      </c>
      <c r="C32" t="s">
        <v>1051</v>
      </c>
      <c r="D32" t="str">
        <f t="shared" si="9"/>
        <v/>
      </c>
      <c r="E32" t="str">
        <f>IF(B32="","",IF(COUNTIF($D$11:D32,D32)&gt;1,"DP",D32))</f>
        <v/>
      </c>
      <c r="F32" t="str">
        <f t="shared" si="10"/>
        <v/>
      </c>
      <c r="G32" t="str">
        <f t="shared" si="11"/>
        <v/>
      </c>
      <c r="H32" s="3" t="str">
        <f t="shared" si="4"/>
        <v/>
      </c>
      <c r="I32" t="str">
        <f t="shared" si="12"/>
        <v/>
      </c>
      <c r="J32" t="str">
        <f t="shared" si="12"/>
        <v/>
      </c>
      <c r="K32" t="str">
        <f t="shared" si="12"/>
        <v/>
      </c>
      <c r="L32" t="str">
        <f t="shared" si="12"/>
        <v/>
      </c>
      <c r="M32" t="str">
        <f t="shared" si="12"/>
        <v/>
      </c>
      <c r="N32" t="str">
        <f t="shared" si="13"/>
        <v/>
      </c>
      <c r="O32" s="33" t="str">
        <f t="shared" si="17"/>
        <v/>
      </c>
      <c r="P32" s="47" t="str">
        <f>IF(AND(VALUE(LEFT($B$3,2))=30,IF(O32="","",COUNTIF($O$11:O32,"MEAL"))&gt;2),"",IF(O32="","",COUNTIF($O$11:O32,"MEAL")))</f>
        <v/>
      </c>
      <c r="Q32" t="str">
        <f t="shared" si="14"/>
        <v/>
      </c>
      <c r="R32" t="str">
        <f t="shared" si="8"/>
        <v/>
      </c>
      <c r="S32" t="str">
        <f t="shared" si="15"/>
        <v/>
      </c>
    </row>
    <row r="33" spans="1:19" x14ac:dyDescent="0.25">
      <c r="A33">
        <v>23</v>
      </c>
      <c r="B33" t="str">
        <f>IF(ScoreHelper!C47="","",ScoreHelper!C47)</f>
        <v/>
      </c>
      <c r="C33" t="s">
        <v>1051</v>
      </c>
      <c r="D33" t="str">
        <f t="shared" si="9"/>
        <v/>
      </c>
      <c r="E33" t="str">
        <f>IF(B33="","",IF(COUNTIF($D$11:D33,D33)&gt;1,"DP",D33))</f>
        <v/>
      </c>
      <c r="F33" t="str">
        <f t="shared" si="10"/>
        <v/>
      </c>
      <c r="G33" t="str">
        <f t="shared" si="11"/>
        <v/>
      </c>
      <c r="H33" s="3" t="str">
        <f t="shared" si="4"/>
        <v/>
      </c>
      <c r="I33" t="str">
        <f t="shared" si="12"/>
        <v/>
      </c>
      <c r="J33" t="str">
        <f t="shared" si="12"/>
        <v/>
      </c>
      <c r="K33" t="str">
        <f t="shared" si="12"/>
        <v/>
      </c>
      <c r="L33" t="str">
        <f t="shared" si="12"/>
        <v/>
      </c>
      <c r="M33" t="str">
        <f t="shared" si="12"/>
        <v/>
      </c>
      <c r="N33" t="str">
        <f t="shared" si="13"/>
        <v/>
      </c>
      <c r="O33" s="33" t="str">
        <f t="shared" si="17"/>
        <v/>
      </c>
      <c r="P33" s="47" t="str">
        <f>IF(AND(VALUE(LEFT($B$3,2))=30,IF(O33="","",COUNTIF($O$11:O33,"MEAL"))&gt;2),"",IF(O33="","",COUNTIF($O$11:O33,"MEAL")))</f>
        <v/>
      </c>
      <c r="Q33" t="str">
        <f t="shared" si="14"/>
        <v/>
      </c>
      <c r="R33" t="str">
        <f t="shared" si="8"/>
        <v/>
      </c>
      <c r="S33" t="str">
        <f t="shared" si="15"/>
        <v/>
      </c>
    </row>
    <row r="34" spans="1:19" x14ac:dyDescent="0.25">
      <c r="A34">
        <v>24</v>
      </c>
      <c r="B34" t="str">
        <f>IF(ScoreHelper!C48="","",ScoreHelper!C48)</f>
        <v/>
      </c>
      <c r="C34" t="s">
        <v>1051</v>
      </c>
      <c r="D34" t="str">
        <f t="shared" si="9"/>
        <v/>
      </c>
      <c r="E34" t="str">
        <f>IF(B34="","",IF(COUNTIF($D$11:D34,D34)&gt;1,"DP",D34))</f>
        <v/>
      </c>
      <c r="F34" t="str">
        <f t="shared" si="10"/>
        <v/>
      </c>
      <c r="G34" t="str">
        <f t="shared" si="11"/>
        <v/>
      </c>
      <c r="H34" s="3" t="str">
        <f t="shared" si="4"/>
        <v/>
      </c>
      <c r="I34" t="str">
        <f t="shared" si="12"/>
        <v/>
      </c>
      <c r="J34" t="str">
        <f t="shared" si="12"/>
        <v/>
      </c>
      <c r="K34" t="str">
        <f t="shared" si="12"/>
        <v/>
      </c>
      <c r="L34" t="str">
        <f t="shared" si="12"/>
        <v/>
      </c>
      <c r="M34" t="str">
        <f t="shared" si="12"/>
        <v/>
      </c>
      <c r="N34" t="str">
        <f t="shared" si="13"/>
        <v/>
      </c>
      <c r="O34" s="33" t="str">
        <f t="shared" si="17"/>
        <v/>
      </c>
      <c r="P34" s="47" t="str">
        <f>IF(AND(VALUE(LEFT($B$3,2))=30,IF(O34="","",COUNTIF($O$11:O34,"MEAL"))&gt;2),"",IF(O34="","",COUNTIF($O$11:O34,"MEAL")))</f>
        <v/>
      </c>
      <c r="Q34" t="str">
        <f t="shared" si="14"/>
        <v/>
      </c>
      <c r="R34" t="str">
        <f t="shared" si="8"/>
        <v/>
      </c>
      <c r="S34" t="str">
        <f t="shared" si="15"/>
        <v/>
      </c>
    </row>
    <row r="35" spans="1:19" x14ac:dyDescent="0.25">
      <c r="A35">
        <v>25</v>
      </c>
      <c r="B35" t="str">
        <f>IF(ScoreHelper!C49="","",ScoreHelper!C49)</f>
        <v/>
      </c>
      <c r="C35" t="s">
        <v>1051</v>
      </c>
      <c r="D35" t="str">
        <f t="shared" si="9"/>
        <v/>
      </c>
      <c r="E35" t="str">
        <f>IF(B35="","",IF(COUNTIF($D$11:D35,D35)&gt;1,"DP",D35))</f>
        <v/>
      </c>
      <c r="F35" t="str">
        <f t="shared" si="10"/>
        <v/>
      </c>
      <c r="G35" t="str">
        <f t="shared" si="11"/>
        <v/>
      </c>
      <c r="H35" s="3" t="str">
        <f t="shared" si="4"/>
        <v/>
      </c>
      <c r="I35" t="str">
        <f t="shared" si="12"/>
        <v/>
      </c>
      <c r="J35" t="str">
        <f t="shared" si="12"/>
        <v/>
      </c>
      <c r="K35" t="str">
        <f t="shared" si="12"/>
        <v/>
      </c>
      <c r="L35" t="str">
        <f t="shared" si="12"/>
        <v/>
      </c>
      <c r="M35" t="str">
        <f t="shared" si="12"/>
        <v/>
      </c>
      <c r="N35" t="str">
        <f t="shared" si="13"/>
        <v/>
      </c>
      <c r="O35" s="33" t="str">
        <f t="shared" si="17"/>
        <v/>
      </c>
      <c r="P35" s="47" t="str">
        <f>IF(AND(VALUE(LEFT($B$3,2))=30,IF(O35="","",COUNTIF($O$11:O35,"MEAL"))&gt;2),"",IF(O35="","",COUNTIF($O$11:O35,"MEAL")))</f>
        <v/>
      </c>
      <c r="Q35" t="str">
        <f t="shared" si="14"/>
        <v/>
      </c>
      <c r="R35" t="str">
        <f t="shared" si="8"/>
        <v/>
      </c>
      <c r="S35" t="str">
        <f t="shared" si="15"/>
        <v/>
      </c>
    </row>
    <row r="36" spans="1:19" x14ac:dyDescent="0.25">
      <c r="A36">
        <v>26</v>
      </c>
      <c r="B36" t="str">
        <f>IF(ScoreHelper!C50="","",ScoreHelper!C50)</f>
        <v/>
      </c>
      <c r="C36" t="s">
        <v>1051</v>
      </c>
      <c r="D36" t="str">
        <f t="shared" si="9"/>
        <v/>
      </c>
      <c r="E36" t="str">
        <f>IF(B36="","",IF(COUNTIF($D$11:D36,D36)&gt;1,"DP",D36))</f>
        <v/>
      </c>
      <c r="F36" t="str">
        <f t="shared" si="10"/>
        <v/>
      </c>
      <c r="G36" t="str">
        <f t="shared" si="11"/>
        <v/>
      </c>
      <c r="H36" s="3" t="str">
        <f t="shared" si="4"/>
        <v/>
      </c>
      <c r="I36" t="str">
        <f t="shared" si="12"/>
        <v/>
      </c>
      <c r="J36" t="str">
        <f t="shared" si="12"/>
        <v/>
      </c>
      <c r="K36" t="str">
        <f t="shared" si="12"/>
        <v/>
      </c>
      <c r="L36" t="str">
        <f t="shared" si="12"/>
        <v/>
      </c>
      <c r="M36" t="str">
        <f t="shared" si="12"/>
        <v/>
      </c>
      <c r="N36" t="str">
        <f t="shared" si="13"/>
        <v/>
      </c>
      <c r="O36" s="33" t="str">
        <f t="shared" si="17"/>
        <v/>
      </c>
      <c r="P36" s="47" t="str">
        <f>IF(AND(VALUE(LEFT($B$3,2))=30,IF(O36="","",COUNTIF($O$11:O36,"MEAL"))&gt;2),"",IF(O36="","",COUNTIF($O$11:O36,"MEAL")))</f>
        <v/>
      </c>
      <c r="Q36" t="str">
        <f t="shared" si="14"/>
        <v/>
      </c>
      <c r="R36" t="str">
        <f t="shared" si="8"/>
        <v/>
      </c>
      <c r="S36" t="str">
        <f t="shared" si="15"/>
        <v/>
      </c>
    </row>
    <row r="37" spans="1:19" x14ac:dyDescent="0.25">
      <c r="A37">
        <v>27</v>
      </c>
      <c r="B37" t="str">
        <f>IF(ScoreHelper!C51="","",ScoreHelper!C51)</f>
        <v/>
      </c>
      <c r="C37" t="s">
        <v>1051</v>
      </c>
      <c r="D37" t="str">
        <f t="shared" si="9"/>
        <v/>
      </c>
      <c r="E37" t="str">
        <f>IF(B37="","",IF(COUNTIF($D$11:D37,D37)&gt;1,"DP",D37))</f>
        <v/>
      </c>
      <c r="F37" t="str">
        <f t="shared" si="10"/>
        <v/>
      </c>
      <c r="G37" t="str">
        <f t="shared" si="11"/>
        <v/>
      </c>
      <c r="H37" s="3" t="str">
        <f t="shared" si="4"/>
        <v/>
      </c>
      <c r="I37" t="str">
        <f t="shared" si="12"/>
        <v/>
      </c>
      <c r="J37" t="str">
        <f t="shared" si="12"/>
        <v/>
      </c>
      <c r="K37" t="str">
        <f t="shared" si="12"/>
        <v/>
      </c>
      <c r="L37" t="str">
        <f t="shared" si="12"/>
        <v/>
      </c>
      <c r="M37" t="str">
        <f t="shared" si="12"/>
        <v/>
      </c>
      <c r="N37" t="str">
        <f t="shared" si="13"/>
        <v/>
      </c>
      <c r="O37" s="33" t="str">
        <f t="shared" si="17"/>
        <v/>
      </c>
      <c r="P37" s="47" t="str">
        <f>IF(AND(VALUE(LEFT($B$3,2))=30,IF(O37="","",COUNTIF($O$11:O37,"MEAL"))&gt;2),"",IF(O37="","",COUNTIF($O$11:O37,"MEAL")))</f>
        <v/>
      </c>
      <c r="Q37" t="str">
        <f t="shared" si="14"/>
        <v/>
      </c>
      <c r="R37" t="str">
        <f t="shared" si="8"/>
        <v/>
      </c>
      <c r="S37" t="str">
        <f t="shared" si="15"/>
        <v/>
      </c>
    </row>
    <row r="38" spans="1:19" x14ac:dyDescent="0.25">
      <c r="A38">
        <v>28</v>
      </c>
      <c r="B38" t="str">
        <f>IF(ScoreHelper!C52="","",ScoreHelper!C52)</f>
        <v/>
      </c>
      <c r="C38" t="s">
        <v>1051</v>
      </c>
      <c r="D38" t="str">
        <f t="shared" si="9"/>
        <v/>
      </c>
      <c r="E38" t="str">
        <f>IF(B38="","",IF(COUNTIF($D$11:D38,D38)&gt;1,"DP",D38))</f>
        <v/>
      </c>
      <c r="F38" t="str">
        <f t="shared" si="10"/>
        <v/>
      </c>
      <c r="G38" t="str">
        <f t="shared" si="11"/>
        <v/>
      </c>
      <c r="H38" s="3" t="str">
        <f t="shared" si="4"/>
        <v/>
      </c>
      <c r="I38" t="str">
        <f t="shared" si="12"/>
        <v/>
      </c>
      <c r="J38" t="str">
        <f t="shared" si="12"/>
        <v/>
      </c>
      <c r="K38" t="str">
        <f t="shared" si="12"/>
        <v/>
      </c>
      <c r="L38" t="str">
        <f t="shared" si="12"/>
        <v/>
      </c>
      <c r="M38" t="str">
        <f t="shared" si="12"/>
        <v/>
      </c>
      <c r="N38" t="str">
        <f t="shared" si="13"/>
        <v/>
      </c>
      <c r="O38" s="33" t="str">
        <f t="shared" si="17"/>
        <v/>
      </c>
      <c r="P38" s="47" t="str">
        <f>IF(AND(VALUE(LEFT($B$3,2))=30,IF(O38="","",COUNTIF($O$11:O38,"MEAL"))&gt;2),"",IF(O38="","",COUNTIF($O$11:O38,"MEAL")))</f>
        <v/>
      </c>
      <c r="Q38" t="str">
        <f t="shared" si="14"/>
        <v/>
      </c>
      <c r="R38" t="str">
        <f t="shared" si="8"/>
        <v/>
      </c>
      <c r="S38" t="str">
        <f t="shared" si="15"/>
        <v/>
      </c>
    </row>
    <row r="39" spans="1:19" x14ac:dyDescent="0.25">
      <c r="A39">
        <v>29</v>
      </c>
      <c r="B39" t="str">
        <f>IF(ScoreHelper!C53="","",ScoreHelper!C53)</f>
        <v/>
      </c>
      <c r="C39" t="s">
        <v>1051</v>
      </c>
      <c r="D39" t="str">
        <f t="shared" si="9"/>
        <v/>
      </c>
      <c r="E39" t="str">
        <f>IF(B39="","",IF(COUNTIF($D$11:D39,D39)&gt;1,"DP",D39))</f>
        <v/>
      </c>
      <c r="F39" t="str">
        <f t="shared" si="10"/>
        <v/>
      </c>
      <c r="G39" t="str">
        <f t="shared" si="11"/>
        <v/>
      </c>
      <c r="H39" s="3" t="str">
        <f t="shared" si="4"/>
        <v/>
      </c>
      <c r="I39" t="str">
        <f t="shared" si="12"/>
        <v/>
      </c>
      <c r="J39" t="str">
        <f t="shared" si="12"/>
        <v/>
      </c>
      <c r="K39" t="str">
        <f t="shared" si="12"/>
        <v/>
      </c>
      <c r="L39" t="str">
        <f t="shared" si="12"/>
        <v/>
      </c>
      <c r="M39" t="str">
        <f t="shared" si="12"/>
        <v/>
      </c>
      <c r="N39" t="str">
        <f t="shared" si="13"/>
        <v/>
      </c>
      <c r="O39" s="33" t="str">
        <f t="shared" si="17"/>
        <v/>
      </c>
      <c r="P39" s="47" t="str">
        <f>IF(AND(VALUE(LEFT($B$3,2))=30,IF(O39="","",COUNTIF($O$11:O39,"MEAL"))&gt;2),"",IF(O39="","",COUNTIF($O$11:O39,"MEAL")))</f>
        <v/>
      </c>
      <c r="Q39" t="str">
        <f t="shared" si="14"/>
        <v/>
      </c>
      <c r="R39" t="str">
        <f t="shared" si="8"/>
        <v/>
      </c>
      <c r="S39" t="str">
        <f t="shared" si="15"/>
        <v/>
      </c>
    </row>
    <row r="40" spans="1:19" x14ac:dyDescent="0.25">
      <c r="A40">
        <v>30</v>
      </c>
      <c r="B40" t="str">
        <f>IF(ScoreHelper!C54="","",ScoreHelper!C54)</f>
        <v/>
      </c>
      <c r="C40" t="s">
        <v>1051</v>
      </c>
      <c r="D40" t="str">
        <f t="shared" si="9"/>
        <v/>
      </c>
      <c r="E40" t="str">
        <f>IF(B40="","",IF(COUNTIF($D$11:D40,D40)&gt;1,"DP",D40))</f>
        <v/>
      </c>
      <c r="F40" t="str">
        <f t="shared" si="10"/>
        <v/>
      </c>
      <c r="G40" t="str">
        <f t="shared" si="11"/>
        <v/>
      </c>
      <c r="H40" s="3" t="str">
        <f t="shared" si="4"/>
        <v/>
      </c>
      <c r="I40" t="str">
        <f t="shared" si="12"/>
        <v/>
      </c>
      <c r="J40" t="str">
        <f t="shared" si="12"/>
        <v/>
      </c>
      <c r="K40" t="str">
        <f t="shared" si="12"/>
        <v/>
      </c>
      <c r="L40" t="str">
        <f t="shared" si="12"/>
        <v/>
      </c>
      <c r="M40" t="str">
        <f t="shared" si="12"/>
        <v/>
      </c>
      <c r="N40" t="str">
        <f t="shared" si="13"/>
        <v/>
      </c>
      <c r="O40" s="33" t="str">
        <f t="shared" si="17"/>
        <v/>
      </c>
      <c r="P40" s="47" t="str">
        <f>IF(AND(VALUE(LEFT($B$3,2))=30,IF(O40="","",COUNTIF($O$11:O40,"MEAL"))&gt;2),"",IF(O40="","",COUNTIF($O$11:O40,"MEAL")))</f>
        <v/>
      </c>
      <c r="Q40" t="str">
        <f t="shared" si="14"/>
        <v/>
      </c>
      <c r="R40" t="str">
        <f t="shared" si="8"/>
        <v/>
      </c>
      <c r="S40" t="str">
        <f t="shared" si="15"/>
        <v/>
      </c>
    </row>
    <row r="41" spans="1:19" x14ac:dyDescent="0.25">
      <c r="A41">
        <v>31</v>
      </c>
      <c r="B41" t="str">
        <f>IF(ScoreHelper!C55="","",ScoreHelper!C55)</f>
        <v/>
      </c>
      <c r="C41" t="s">
        <v>1051</v>
      </c>
      <c r="D41" t="str">
        <f t="shared" si="9"/>
        <v/>
      </c>
      <c r="E41" t="str">
        <f>IF(B41="","",IF(COUNTIF($D$11:D41,D41)&gt;1,"DP",D41))</f>
        <v/>
      </c>
      <c r="F41" t="str">
        <f t="shared" si="10"/>
        <v/>
      </c>
      <c r="G41" t="str">
        <f t="shared" si="11"/>
        <v/>
      </c>
      <c r="H41" s="3" t="str">
        <f t="shared" si="4"/>
        <v/>
      </c>
      <c r="I41" t="str">
        <f t="shared" si="12"/>
        <v/>
      </c>
      <c r="J41" t="str">
        <f t="shared" si="12"/>
        <v/>
      </c>
      <c r="K41" t="str">
        <f t="shared" si="12"/>
        <v/>
      </c>
      <c r="L41" t="str">
        <f t="shared" si="12"/>
        <v/>
      </c>
      <c r="M41" t="str">
        <f t="shared" si="12"/>
        <v/>
      </c>
      <c r="N41" t="str">
        <f t="shared" si="13"/>
        <v/>
      </c>
      <c r="O41" s="33" t="str">
        <f t="shared" si="17"/>
        <v/>
      </c>
      <c r="P41" s="47" t="str">
        <f>IF(AND(VALUE(LEFT($B$3,2))=30,IF(O41="","",COUNTIF($O$11:O41,"MEAL"))&gt;2),"",IF(O41="","",COUNTIF($O$11:O41,"MEAL")))</f>
        <v/>
      </c>
      <c r="Q41" t="str">
        <f t="shared" si="14"/>
        <v/>
      </c>
      <c r="R41" t="str">
        <f t="shared" si="8"/>
        <v/>
      </c>
      <c r="S41" t="str">
        <f t="shared" si="15"/>
        <v/>
      </c>
    </row>
    <row r="42" spans="1:19" x14ac:dyDescent="0.25">
      <c r="A42">
        <v>32</v>
      </c>
      <c r="B42" t="str">
        <f>IF(ScoreHelper!C56="","",ScoreHelper!C56)</f>
        <v/>
      </c>
      <c r="C42" t="s">
        <v>1051</v>
      </c>
      <c r="D42" t="str">
        <f t="shared" si="9"/>
        <v/>
      </c>
      <c r="E42" t="str">
        <f>IF(B42="","",IF(COUNTIF($D$11:D42,D42)&gt;1,"DP",D42))</f>
        <v/>
      </c>
      <c r="F42" t="str">
        <f t="shared" si="10"/>
        <v/>
      </c>
      <c r="G42" t="str">
        <f t="shared" si="11"/>
        <v/>
      </c>
      <c r="H42" s="3" t="str">
        <f t="shared" si="4"/>
        <v/>
      </c>
      <c r="I42" t="str">
        <f t="shared" si="12"/>
        <v/>
      </c>
      <c r="J42" t="str">
        <f t="shared" si="12"/>
        <v/>
      </c>
      <c r="K42" t="str">
        <f t="shared" si="12"/>
        <v/>
      </c>
      <c r="L42" t="str">
        <f t="shared" si="12"/>
        <v/>
      </c>
      <c r="M42" t="str">
        <f t="shared" si="12"/>
        <v/>
      </c>
      <c r="N42" t="str">
        <f t="shared" si="13"/>
        <v/>
      </c>
      <c r="O42" s="33" t="str">
        <f t="shared" si="17"/>
        <v/>
      </c>
      <c r="P42" s="47" t="str">
        <f>IF(AND(VALUE(LEFT($B$3,2))=30,IF(O42="","",COUNTIF($O$11:O42,"MEAL"))&gt;2),"",IF(O42="","",COUNTIF($O$11:O42,"MEAL")))</f>
        <v/>
      </c>
      <c r="Q42" t="str">
        <f t="shared" si="14"/>
        <v/>
      </c>
      <c r="R42" t="str">
        <f t="shared" si="8"/>
        <v/>
      </c>
      <c r="S42" t="str">
        <f t="shared" si="15"/>
        <v/>
      </c>
    </row>
    <row r="43" spans="1:19" x14ac:dyDescent="0.25">
      <c r="A43">
        <v>33</v>
      </c>
      <c r="B43" t="str">
        <f>IF(ScoreHelper!C57="","",ScoreHelper!C57)</f>
        <v/>
      </c>
      <c r="C43" t="s">
        <v>1051</v>
      </c>
      <c r="D43" t="str">
        <f t="shared" si="9"/>
        <v/>
      </c>
      <c r="E43" t="str">
        <f>IF(B43="","",IF(COUNTIF($D$11:D43,D43)&gt;1,"DP",D43))</f>
        <v/>
      </c>
      <c r="F43" t="str">
        <f t="shared" si="10"/>
        <v/>
      </c>
      <c r="G43" t="str">
        <f t="shared" si="11"/>
        <v/>
      </c>
      <c r="H43" s="3" t="str">
        <f t="shared" si="4"/>
        <v/>
      </c>
      <c r="I43" t="str">
        <f t="shared" si="12"/>
        <v/>
      </c>
      <c r="J43" t="str">
        <f t="shared" si="12"/>
        <v/>
      </c>
      <c r="K43" t="str">
        <f t="shared" si="12"/>
        <v/>
      </c>
      <c r="L43" t="str">
        <f t="shared" si="12"/>
        <v/>
      </c>
      <c r="M43" t="str">
        <f t="shared" si="12"/>
        <v/>
      </c>
      <c r="N43" t="str">
        <f t="shared" si="13"/>
        <v/>
      </c>
      <c r="O43" s="33" t="str">
        <f t="shared" si="17"/>
        <v/>
      </c>
      <c r="P43" s="47" t="str">
        <f>IF(AND(VALUE(LEFT($B$3,2))=30,IF(O43="","",COUNTIF($O$11:O43,"MEAL"))&gt;2),"",IF(O43="","",COUNTIF($O$11:O43,"MEAL")))</f>
        <v/>
      </c>
      <c r="Q43" t="str">
        <f t="shared" si="14"/>
        <v/>
      </c>
      <c r="R43" t="str">
        <f t="shared" si="8"/>
        <v/>
      </c>
      <c r="S43" t="str">
        <f t="shared" si="15"/>
        <v/>
      </c>
    </row>
    <row r="44" spans="1:19" x14ac:dyDescent="0.25">
      <c r="A44">
        <v>34</v>
      </c>
      <c r="B44" t="str">
        <f>IF(ScoreHelper!C58="","",ScoreHelper!C58)</f>
        <v/>
      </c>
      <c r="C44" t="s">
        <v>1051</v>
      </c>
      <c r="D44" t="str">
        <f t="shared" si="9"/>
        <v/>
      </c>
      <c r="E44" t="str">
        <f>IF(B44="","",IF(COUNTIF($D$11:D44,D44)&gt;1,"DP",D44))</f>
        <v/>
      </c>
      <c r="F44" t="str">
        <f t="shared" si="10"/>
        <v/>
      </c>
      <c r="G44" t="str">
        <f t="shared" si="11"/>
        <v/>
      </c>
      <c r="H44" s="3" t="str">
        <f t="shared" si="4"/>
        <v/>
      </c>
      <c r="I44" t="str">
        <f t="shared" ref="I44:M75" si="18">IF($F44="","",IF($H44=I$10,$G44,""))</f>
        <v/>
      </c>
      <c r="J44" t="str">
        <f t="shared" si="18"/>
        <v/>
      </c>
      <c r="K44" t="str">
        <f t="shared" si="18"/>
        <v/>
      </c>
      <c r="L44" t="str">
        <f t="shared" si="18"/>
        <v/>
      </c>
      <c r="M44" t="str">
        <f t="shared" si="18"/>
        <v/>
      </c>
      <c r="N44" t="str">
        <f t="shared" si="13"/>
        <v/>
      </c>
      <c r="O44" s="33" t="str">
        <f t="shared" si="17"/>
        <v/>
      </c>
      <c r="P44" s="47" t="str">
        <f>IF(AND(VALUE(LEFT($B$3,2))=30,IF(O44="","",COUNTIF($O$11:O44,"MEAL"))&gt;2),"",IF(O44="","",COUNTIF($O$11:O44,"MEAL")))</f>
        <v/>
      </c>
      <c r="Q44" t="str">
        <f t="shared" si="14"/>
        <v/>
      </c>
      <c r="R44" t="str">
        <f t="shared" si="8"/>
        <v/>
      </c>
      <c r="S44" t="str">
        <f t="shared" si="15"/>
        <v/>
      </c>
    </row>
    <row r="45" spans="1:19" x14ac:dyDescent="0.25">
      <c r="A45">
        <v>35</v>
      </c>
      <c r="B45" t="str">
        <f>IF(ScoreHelper!C59="","",ScoreHelper!C59)</f>
        <v/>
      </c>
      <c r="C45" t="s">
        <v>1051</v>
      </c>
      <c r="D45" t="str">
        <f t="shared" si="9"/>
        <v/>
      </c>
      <c r="E45" t="str">
        <f>IF(B45="","",IF(COUNTIF($D$11:D45,D45)&gt;1,"DP",D45))</f>
        <v/>
      </c>
      <c r="F45" t="str">
        <f t="shared" si="10"/>
        <v/>
      </c>
      <c r="G45" t="str">
        <f t="shared" si="11"/>
        <v/>
      </c>
      <c r="H45" s="3" t="str">
        <f t="shared" si="4"/>
        <v/>
      </c>
      <c r="I45" t="str">
        <f t="shared" si="18"/>
        <v/>
      </c>
      <c r="J45" t="str">
        <f t="shared" si="18"/>
        <v/>
      </c>
      <c r="K45" t="str">
        <f t="shared" si="18"/>
        <v/>
      </c>
      <c r="L45" t="str">
        <f t="shared" si="18"/>
        <v/>
      </c>
      <c r="M45" t="str">
        <f t="shared" si="18"/>
        <v/>
      </c>
      <c r="N45" t="str">
        <f t="shared" si="13"/>
        <v/>
      </c>
      <c r="O45" s="33" t="str">
        <f t="shared" si="17"/>
        <v/>
      </c>
      <c r="P45" s="47" t="str">
        <f>IF(AND(VALUE(LEFT($B$3,2))=30,IF(O45="","",COUNTIF($O$11:O45,"MEAL"))&gt;2),"",IF(O45="","",COUNTIF($O$11:O45,"MEAL")))</f>
        <v/>
      </c>
      <c r="Q45" t="str">
        <f t="shared" si="14"/>
        <v/>
      </c>
      <c r="R45" t="str">
        <f t="shared" si="8"/>
        <v/>
      </c>
      <c r="S45" t="str">
        <f t="shared" si="15"/>
        <v/>
      </c>
    </row>
    <row r="46" spans="1:19" x14ac:dyDescent="0.25">
      <c r="A46">
        <v>36</v>
      </c>
      <c r="B46" t="str">
        <f>IF(ScoreHelper!C60="","",ScoreHelper!C60)</f>
        <v/>
      </c>
      <c r="C46" t="s">
        <v>1051</v>
      </c>
      <c r="D46" t="str">
        <f t="shared" si="9"/>
        <v/>
      </c>
      <c r="E46" t="str">
        <f>IF(B46="","",IF(COUNTIF($D$11:D46,D46)&gt;1,"DP",D46))</f>
        <v/>
      </c>
      <c r="F46" t="str">
        <f t="shared" si="10"/>
        <v/>
      </c>
      <c r="G46" t="str">
        <f t="shared" si="11"/>
        <v/>
      </c>
      <c r="H46" s="3" t="str">
        <f t="shared" si="4"/>
        <v/>
      </c>
      <c r="I46" t="str">
        <f t="shared" si="18"/>
        <v/>
      </c>
      <c r="J46" t="str">
        <f t="shared" si="18"/>
        <v/>
      </c>
      <c r="K46" t="str">
        <f t="shared" si="18"/>
        <v/>
      </c>
      <c r="L46" t="str">
        <f t="shared" si="18"/>
        <v/>
      </c>
      <c r="M46" t="str">
        <f t="shared" si="18"/>
        <v/>
      </c>
      <c r="N46" t="str">
        <f t="shared" si="13"/>
        <v/>
      </c>
      <c r="O46" s="33" t="str">
        <f t="shared" si="17"/>
        <v/>
      </c>
      <c r="P46" s="47" t="str">
        <f>IF(AND(VALUE(LEFT($B$3,2))=30,IF(O46="","",COUNTIF($O$11:O46,"MEAL"))&gt;2),"",IF(O46="","",COUNTIF($O$11:O46,"MEAL")))</f>
        <v/>
      </c>
      <c r="Q46" t="str">
        <f t="shared" si="14"/>
        <v/>
      </c>
      <c r="R46" t="str">
        <f t="shared" si="8"/>
        <v/>
      </c>
      <c r="S46" t="str">
        <f t="shared" si="15"/>
        <v/>
      </c>
    </row>
    <row r="47" spans="1:19" x14ac:dyDescent="0.25">
      <c r="A47">
        <v>37</v>
      </c>
      <c r="B47" t="str">
        <f>IF(ScoreHelper!C61="","",ScoreHelper!C61)</f>
        <v/>
      </c>
      <c r="C47" t="s">
        <v>1051</v>
      </c>
      <c r="D47" t="str">
        <f t="shared" si="9"/>
        <v/>
      </c>
      <c r="E47" t="str">
        <f>IF(B47="","",IF(COUNTIF($D$11:D47,D47)&gt;1,"DP",D47))</f>
        <v/>
      </c>
      <c r="F47" t="str">
        <f t="shared" si="10"/>
        <v/>
      </c>
      <c r="G47" t="str">
        <f t="shared" si="11"/>
        <v/>
      </c>
      <c r="H47" s="3" t="str">
        <f t="shared" si="4"/>
        <v/>
      </c>
      <c r="I47" t="str">
        <f t="shared" si="18"/>
        <v/>
      </c>
      <c r="J47" t="str">
        <f t="shared" si="18"/>
        <v/>
      </c>
      <c r="K47" t="str">
        <f t="shared" si="18"/>
        <v/>
      </c>
      <c r="L47" t="str">
        <f t="shared" si="18"/>
        <v/>
      </c>
      <c r="M47" t="str">
        <f t="shared" si="18"/>
        <v/>
      </c>
      <c r="N47" t="str">
        <f t="shared" si="13"/>
        <v/>
      </c>
      <c r="O47" s="33" t="str">
        <f t="shared" si="17"/>
        <v/>
      </c>
      <c r="P47" s="47" t="str">
        <f>IF(AND(VALUE(LEFT($B$3,2))=30,IF(O47="","",COUNTIF($O$11:O47,"MEAL"))&gt;2),"",IF(O47="","",COUNTIF($O$11:O47,"MEAL")))</f>
        <v/>
      </c>
      <c r="Q47" t="str">
        <f t="shared" si="14"/>
        <v/>
      </c>
      <c r="R47" t="str">
        <f t="shared" si="8"/>
        <v/>
      </c>
      <c r="S47" t="str">
        <f t="shared" si="15"/>
        <v/>
      </c>
    </row>
    <row r="48" spans="1:19" x14ac:dyDescent="0.25">
      <c r="A48">
        <v>38</v>
      </c>
      <c r="B48" t="str">
        <f>IF(ScoreHelper!C62="","",ScoreHelper!C62)</f>
        <v/>
      </c>
      <c r="C48" t="s">
        <v>1051</v>
      </c>
      <c r="D48" t="str">
        <f t="shared" si="9"/>
        <v/>
      </c>
      <c r="E48" t="str">
        <f>IF(B48="","",IF(COUNTIF($D$11:D48,D48)&gt;1,"DP",D48))</f>
        <v/>
      </c>
      <c r="F48" t="str">
        <f t="shared" si="10"/>
        <v/>
      </c>
      <c r="G48" t="str">
        <f t="shared" si="11"/>
        <v/>
      </c>
      <c r="H48" s="3" t="str">
        <f t="shared" si="4"/>
        <v/>
      </c>
      <c r="I48" t="str">
        <f t="shared" si="18"/>
        <v/>
      </c>
      <c r="J48" t="str">
        <f t="shared" si="18"/>
        <v/>
      </c>
      <c r="K48" t="str">
        <f t="shared" si="18"/>
        <v/>
      </c>
      <c r="L48" t="str">
        <f t="shared" si="18"/>
        <v/>
      </c>
      <c r="M48" t="str">
        <f t="shared" si="18"/>
        <v/>
      </c>
      <c r="N48" t="str">
        <f t="shared" si="13"/>
        <v/>
      </c>
      <c r="O48" s="33" t="str">
        <f t="shared" si="17"/>
        <v/>
      </c>
      <c r="P48" s="47" t="str">
        <f>IF(AND(VALUE(LEFT($B$3,2))=30,IF(O48="","",COUNTIF($O$11:O48,"MEAL"))&gt;2),"",IF(O48="","",COUNTIF($O$11:O48,"MEAL")))</f>
        <v/>
      </c>
      <c r="Q48" t="str">
        <f t="shared" si="14"/>
        <v/>
      </c>
      <c r="R48" t="str">
        <f t="shared" si="8"/>
        <v/>
      </c>
      <c r="S48" t="str">
        <f t="shared" si="15"/>
        <v/>
      </c>
    </row>
    <row r="49" spans="1:19" x14ac:dyDescent="0.25">
      <c r="A49">
        <v>39</v>
      </c>
      <c r="B49" t="str">
        <f>IF(ScoreHelper!C63="","",ScoreHelper!C63)</f>
        <v/>
      </c>
      <c r="C49" t="s">
        <v>1051</v>
      </c>
      <c r="D49" t="str">
        <f t="shared" si="9"/>
        <v/>
      </c>
      <c r="E49" t="str">
        <f>IF(B49="","",IF(COUNTIF($D$11:D49,D49)&gt;1,"DP",D49))</f>
        <v/>
      </c>
      <c r="F49" t="str">
        <f t="shared" si="10"/>
        <v/>
      </c>
      <c r="G49" t="str">
        <f t="shared" si="11"/>
        <v/>
      </c>
      <c r="H49" s="3" t="str">
        <f t="shared" si="4"/>
        <v/>
      </c>
      <c r="I49" t="str">
        <f t="shared" si="18"/>
        <v/>
      </c>
      <c r="J49" t="str">
        <f t="shared" si="18"/>
        <v/>
      </c>
      <c r="K49" t="str">
        <f t="shared" si="18"/>
        <v/>
      </c>
      <c r="L49" t="str">
        <f t="shared" si="18"/>
        <v/>
      </c>
      <c r="M49" t="str">
        <f t="shared" si="18"/>
        <v/>
      </c>
      <c r="N49" t="str">
        <f t="shared" si="13"/>
        <v/>
      </c>
      <c r="O49" s="33" t="str">
        <f t="shared" si="17"/>
        <v/>
      </c>
      <c r="P49" s="47" t="str">
        <f>IF(AND(VALUE(LEFT($B$3,2))=30,IF(O49="","",COUNTIF($O$11:O49,"MEAL"))&gt;2),"",IF(O49="","",COUNTIF($O$11:O49,"MEAL")))</f>
        <v/>
      </c>
      <c r="Q49" t="str">
        <f t="shared" si="14"/>
        <v/>
      </c>
      <c r="R49" t="str">
        <f t="shared" si="8"/>
        <v/>
      </c>
      <c r="S49" t="str">
        <f t="shared" si="15"/>
        <v/>
      </c>
    </row>
    <row r="50" spans="1:19" x14ac:dyDescent="0.25">
      <c r="A50">
        <v>40</v>
      </c>
      <c r="B50" t="str">
        <f>IF(ScoreHelper!C64="","",ScoreHelper!C64)</f>
        <v/>
      </c>
      <c r="C50" t="s">
        <v>1051</v>
      </c>
      <c r="D50" t="str">
        <f t="shared" si="9"/>
        <v/>
      </c>
      <c r="E50" t="str">
        <f>IF(B50="","",IF(COUNTIF($D$11:D50,D50)&gt;1,"DP",D50))</f>
        <v/>
      </c>
      <c r="F50" t="str">
        <f t="shared" si="10"/>
        <v/>
      </c>
      <c r="G50" t="str">
        <f t="shared" si="11"/>
        <v/>
      </c>
      <c r="H50" s="3" t="str">
        <f t="shared" si="4"/>
        <v/>
      </c>
      <c r="I50" t="str">
        <f t="shared" si="18"/>
        <v/>
      </c>
      <c r="J50" t="str">
        <f t="shared" si="18"/>
        <v/>
      </c>
      <c r="K50" t="str">
        <f t="shared" si="18"/>
        <v/>
      </c>
      <c r="L50" t="str">
        <f t="shared" si="18"/>
        <v/>
      </c>
      <c r="M50" t="str">
        <f t="shared" si="18"/>
        <v/>
      </c>
      <c r="N50" t="str">
        <f t="shared" si="13"/>
        <v/>
      </c>
      <c r="O50" s="33" t="str">
        <f t="shared" si="17"/>
        <v/>
      </c>
      <c r="P50" s="47" t="str">
        <f>IF(AND(VALUE(LEFT($B$3,2))=30,IF(O50="","",COUNTIF($O$11:O50,"MEAL"))&gt;2),"",IF(O50="","",COUNTIF($O$11:O50,"MEAL")))</f>
        <v/>
      </c>
      <c r="Q50" t="str">
        <f t="shared" si="14"/>
        <v/>
      </c>
      <c r="R50" t="str">
        <f t="shared" si="8"/>
        <v/>
      </c>
      <c r="S50" t="str">
        <f t="shared" si="15"/>
        <v/>
      </c>
    </row>
    <row r="51" spans="1:19" x14ac:dyDescent="0.25">
      <c r="A51">
        <v>41</v>
      </c>
      <c r="B51" t="str">
        <f>IF(ScoreHelper!C65="","",ScoreHelper!C65)</f>
        <v/>
      </c>
      <c r="C51" t="s">
        <v>1051</v>
      </c>
      <c r="D51" t="str">
        <f t="shared" si="9"/>
        <v/>
      </c>
      <c r="E51" t="str">
        <f>IF(B51="","",IF(COUNTIF($D$11:D51,D51)&gt;1,"DP",D51))</f>
        <v/>
      </c>
      <c r="F51" t="str">
        <f t="shared" si="10"/>
        <v/>
      </c>
      <c r="G51" t="str">
        <f t="shared" si="11"/>
        <v/>
      </c>
      <c r="H51" s="3" t="str">
        <f t="shared" si="4"/>
        <v/>
      </c>
      <c r="I51" t="str">
        <f t="shared" si="18"/>
        <v/>
      </c>
      <c r="J51" t="str">
        <f t="shared" si="18"/>
        <v/>
      </c>
      <c r="K51" t="str">
        <f t="shared" si="18"/>
        <v/>
      </c>
      <c r="L51" t="str">
        <f t="shared" si="18"/>
        <v/>
      </c>
      <c r="M51" t="str">
        <f t="shared" si="18"/>
        <v/>
      </c>
      <c r="N51" t="str">
        <f t="shared" si="13"/>
        <v/>
      </c>
      <c r="O51" s="33" t="str">
        <f t="shared" si="17"/>
        <v/>
      </c>
      <c r="P51" s="47" t="str">
        <f>IF(AND(VALUE(LEFT($B$3,2))=30,IF(O51="","",COUNTIF($O$11:O51,"MEAL"))&gt;2),"",IF(O51="","",COUNTIF($O$11:O51,"MEAL")))</f>
        <v/>
      </c>
      <c r="Q51" t="str">
        <f t="shared" si="14"/>
        <v/>
      </c>
      <c r="R51" t="str">
        <f t="shared" si="8"/>
        <v/>
      </c>
      <c r="S51" t="str">
        <f t="shared" si="15"/>
        <v/>
      </c>
    </row>
    <row r="52" spans="1:19" x14ac:dyDescent="0.25">
      <c r="A52">
        <v>42</v>
      </c>
      <c r="B52" t="str">
        <f>IF(ScoreHelper!C66="","",ScoreHelper!C66)</f>
        <v/>
      </c>
      <c r="C52" t="s">
        <v>1051</v>
      </c>
      <c r="D52" t="str">
        <f t="shared" si="9"/>
        <v/>
      </c>
      <c r="E52" t="str">
        <f>IF(B52="","",IF(COUNTIF($D$11:D52,D52)&gt;1,"DP",D52))</f>
        <v/>
      </c>
      <c r="F52" t="str">
        <f t="shared" si="10"/>
        <v/>
      </c>
      <c r="G52" t="str">
        <f t="shared" si="11"/>
        <v/>
      </c>
      <c r="H52" s="3" t="str">
        <f t="shared" si="4"/>
        <v/>
      </c>
      <c r="I52" t="str">
        <f t="shared" si="18"/>
        <v/>
      </c>
      <c r="J52" t="str">
        <f t="shared" si="18"/>
        <v/>
      </c>
      <c r="K52" t="str">
        <f t="shared" si="18"/>
        <v/>
      </c>
      <c r="L52" t="str">
        <f t="shared" si="18"/>
        <v/>
      </c>
      <c r="M52" t="str">
        <f t="shared" si="18"/>
        <v/>
      </c>
      <c r="N52" t="str">
        <f t="shared" si="13"/>
        <v/>
      </c>
      <c r="O52" s="33" t="str">
        <f t="shared" si="17"/>
        <v/>
      </c>
      <c r="P52" s="47" t="str">
        <f>IF(AND(VALUE(LEFT($B$3,2))=30,IF(O52="","",COUNTIF($O$11:O52,"MEAL"))&gt;2),"",IF(O52="","",COUNTIF($O$11:O52,"MEAL")))</f>
        <v/>
      </c>
      <c r="Q52" t="str">
        <f t="shared" si="14"/>
        <v/>
      </c>
      <c r="R52" t="str">
        <f t="shared" si="8"/>
        <v/>
      </c>
      <c r="S52" t="str">
        <f t="shared" si="15"/>
        <v/>
      </c>
    </row>
    <row r="53" spans="1:19" x14ac:dyDescent="0.25">
      <c r="A53">
        <v>43</v>
      </c>
      <c r="B53" t="str">
        <f>IF(ScoreHelper!C67="","",ScoreHelper!C67)</f>
        <v/>
      </c>
      <c r="C53" t="s">
        <v>1051</v>
      </c>
      <c r="D53" t="str">
        <f t="shared" si="9"/>
        <v/>
      </c>
      <c r="E53" t="str">
        <f>IF(B53="","",IF(COUNTIF($D$11:D53,D53)&gt;1,"DP",D53))</f>
        <v/>
      </c>
      <c r="F53" t="str">
        <f t="shared" si="10"/>
        <v/>
      </c>
      <c r="G53" t="str">
        <f t="shared" si="11"/>
        <v/>
      </c>
      <c r="H53" s="3" t="str">
        <f t="shared" si="4"/>
        <v/>
      </c>
      <c r="I53" t="str">
        <f t="shared" si="18"/>
        <v/>
      </c>
      <c r="J53" t="str">
        <f t="shared" si="18"/>
        <v/>
      </c>
      <c r="K53" t="str">
        <f t="shared" si="18"/>
        <v/>
      </c>
      <c r="L53" t="str">
        <f t="shared" si="18"/>
        <v/>
      </c>
      <c r="M53" t="str">
        <f t="shared" si="18"/>
        <v/>
      </c>
      <c r="N53" t="str">
        <f t="shared" si="13"/>
        <v/>
      </c>
      <c r="O53" s="33" t="str">
        <f t="shared" si="17"/>
        <v/>
      </c>
      <c r="P53" s="47" t="str">
        <f>IF(AND(VALUE(LEFT($B$3,2))=30,IF(O53="","",COUNTIF($O$11:O53,"MEAL"))&gt;2),"",IF(O53="","",COUNTIF($O$11:O53,"MEAL")))</f>
        <v/>
      </c>
      <c r="Q53" t="str">
        <f t="shared" si="14"/>
        <v/>
      </c>
      <c r="R53" t="str">
        <f t="shared" si="8"/>
        <v/>
      </c>
      <c r="S53" t="str">
        <f t="shared" si="15"/>
        <v/>
      </c>
    </row>
    <row r="54" spans="1:19" x14ac:dyDescent="0.25">
      <c r="A54">
        <v>44</v>
      </c>
      <c r="B54" t="str">
        <f>IF(ScoreHelper!C68="","",ScoreHelper!C68)</f>
        <v/>
      </c>
      <c r="C54" t="s">
        <v>1051</v>
      </c>
      <c r="D54" t="str">
        <f t="shared" si="9"/>
        <v/>
      </c>
      <c r="E54" t="str">
        <f>IF(B54="","",IF(COUNTIF($D$11:D54,D54)&gt;1,"DP",D54))</f>
        <v/>
      </c>
      <c r="F54" t="str">
        <f t="shared" si="10"/>
        <v/>
      </c>
      <c r="G54" t="str">
        <f t="shared" si="11"/>
        <v/>
      </c>
      <c r="H54" s="3" t="str">
        <f t="shared" si="4"/>
        <v/>
      </c>
      <c r="I54" t="str">
        <f t="shared" si="18"/>
        <v/>
      </c>
      <c r="J54" t="str">
        <f t="shared" si="18"/>
        <v/>
      </c>
      <c r="K54" t="str">
        <f t="shared" si="18"/>
        <v/>
      </c>
      <c r="L54" t="str">
        <f t="shared" si="18"/>
        <v/>
      </c>
      <c r="M54" t="str">
        <f t="shared" si="18"/>
        <v/>
      </c>
      <c r="N54" t="str">
        <f t="shared" si="13"/>
        <v/>
      </c>
      <c r="O54" s="33" t="str">
        <f t="shared" si="17"/>
        <v/>
      </c>
      <c r="P54" s="47" t="str">
        <f>IF(AND(VALUE(LEFT($B$3,2))=30,IF(O54="","",COUNTIF($O$11:O54,"MEAL"))&gt;2),"",IF(O54="","",COUNTIF($O$11:O54,"MEAL")))</f>
        <v/>
      </c>
      <c r="Q54" t="str">
        <f t="shared" si="14"/>
        <v/>
      </c>
      <c r="R54" t="str">
        <f t="shared" si="8"/>
        <v/>
      </c>
      <c r="S54" t="str">
        <f t="shared" si="15"/>
        <v/>
      </c>
    </row>
    <row r="55" spans="1:19" x14ac:dyDescent="0.25">
      <c r="A55">
        <v>45</v>
      </c>
      <c r="B55" t="str">
        <f>IF(ScoreHelper!C69="","",ScoreHelper!C69)</f>
        <v/>
      </c>
      <c r="C55" t="s">
        <v>1051</v>
      </c>
      <c r="D55" t="str">
        <f t="shared" si="9"/>
        <v/>
      </c>
      <c r="E55" t="str">
        <f>IF(B55="","",IF(COUNTIF($D$11:D55,D55)&gt;1,"DP",D55))</f>
        <v/>
      </c>
      <c r="F55" t="str">
        <f t="shared" si="10"/>
        <v/>
      </c>
      <c r="G55" t="str">
        <f t="shared" si="11"/>
        <v/>
      </c>
      <c r="H55" s="3" t="str">
        <f t="shared" si="4"/>
        <v/>
      </c>
      <c r="I55" t="str">
        <f t="shared" si="18"/>
        <v/>
      </c>
      <c r="J55" t="str">
        <f t="shared" si="18"/>
        <v/>
      </c>
      <c r="K55" t="str">
        <f t="shared" si="18"/>
        <v/>
      </c>
      <c r="L55" t="str">
        <f t="shared" si="18"/>
        <v/>
      </c>
      <c r="M55" t="str">
        <f t="shared" si="18"/>
        <v/>
      </c>
      <c r="N55" t="str">
        <f t="shared" si="13"/>
        <v/>
      </c>
      <c r="O55" s="33" t="str">
        <f t="shared" si="17"/>
        <v/>
      </c>
      <c r="P55" s="47" t="str">
        <f>IF(AND(VALUE(LEFT($B$3,2))=30,IF(O55="","",COUNTIF($O$11:O55,"MEAL"))&gt;2),"",IF(O55="","",COUNTIF($O$11:O55,"MEAL")))</f>
        <v/>
      </c>
      <c r="Q55" t="str">
        <f t="shared" si="14"/>
        <v/>
      </c>
      <c r="R55" t="str">
        <f t="shared" si="8"/>
        <v/>
      </c>
      <c r="S55" t="str">
        <f t="shared" si="15"/>
        <v/>
      </c>
    </row>
    <row r="56" spans="1:19" x14ac:dyDescent="0.25">
      <c r="A56">
        <v>46</v>
      </c>
      <c r="B56" t="str">
        <f>IF(ScoreHelper!C70="","",ScoreHelper!C70)</f>
        <v/>
      </c>
      <c r="C56" t="s">
        <v>1051</v>
      </c>
      <c r="D56" t="str">
        <f t="shared" si="9"/>
        <v/>
      </c>
      <c r="E56" t="str">
        <f>IF(B56="","",IF(COUNTIF($D$11:D56,D56)&gt;1,"DP",D56))</f>
        <v/>
      </c>
      <c r="F56" t="str">
        <f t="shared" si="10"/>
        <v/>
      </c>
      <c r="G56" t="str">
        <f t="shared" si="11"/>
        <v/>
      </c>
      <c r="H56" s="3" t="str">
        <f t="shared" si="4"/>
        <v/>
      </c>
      <c r="I56" t="str">
        <f t="shared" si="18"/>
        <v/>
      </c>
      <c r="J56" t="str">
        <f t="shared" si="18"/>
        <v/>
      </c>
      <c r="K56" t="str">
        <f t="shared" si="18"/>
        <v/>
      </c>
      <c r="L56" t="str">
        <f t="shared" si="18"/>
        <v/>
      </c>
      <c r="M56" t="str">
        <f t="shared" si="18"/>
        <v/>
      </c>
      <c r="N56" t="str">
        <f t="shared" si="13"/>
        <v/>
      </c>
      <c r="O56" s="33" t="str">
        <f t="shared" si="17"/>
        <v/>
      </c>
      <c r="P56" s="47" t="str">
        <f>IF(AND(VALUE(LEFT($B$3,2))=30,IF(O56="","",COUNTIF($O$11:O56,"MEAL"))&gt;2),"",IF(O56="","",COUNTIF($O$11:O56,"MEAL")))</f>
        <v/>
      </c>
      <c r="Q56" t="str">
        <f t="shared" si="14"/>
        <v/>
      </c>
      <c r="R56" t="str">
        <f t="shared" si="8"/>
        <v/>
      </c>
      <c r="S56" t="str">
        <f t="shared" si="15"/>
        <v/>
      </c>
    </row>
    <row r="57" spans="1:19" x14ac:dyDescent="0.25">
      <c r="A57">
        <v>47</v>
      </c>
      <c r="B57" t="str">
        <f>IF(ScoreHelper!C71="","",ScoreHelper!C71)</f>
        <v/>
      </c>
      <c r="C57" t="s">
        <v>1051</v>
      </c>
      <c r="D57" t="str">
        <f t="shared" si="9"/>
        <v/>
      </c>
      <c r="E57" t="str">
        <f>IF(B57="","",IF(COUNTIF($D$11:D57,D57)&gt;1,"DP",D57))</f>
        <v/>
      </c>
      <c r="F57" t="str">
        <f t="shared" si="10"/>
        <v/>
      </c>
      <c r="G57" t="str">
        <f t="shared" si="11"/>
        <v/>
      </c>
      <c r="H57" s="3" t="str">
        <f t="shared" si="4"/>
        <v/>
      </c>
      <c r="I57" t="str">
        <f t="shared" si="18"/>
        <v/>
      </c>
      <c r="J57" t="str">
        <f t="shared" si="18"/>
        <v/>
      </c>
      <c r="K57" t="str">
        <f t="shared" si="18"/>
        <v/>
      </c>
      <c r="L57" t="str">
        <f t="shared" si="18"/>
        <v/>
      </c>
      <c r="M57" t="str">
        <f t="shared" si="18"/>
        <v/>
      </c>
      <c r="N57" t="str">
        <f t="shared" si="13"/>
        <v/>
      </c>
      <c r="O57" s="33" t="str">
        <f t="shared" si="17"/>
        <v/>
      </c>
      <c r="P57" s="47" t="str">
        <f>IF(AND(VALUE(LEFT($B$3,2))=30,IF(O57="","",COUNTIF($O$11:O57,"MEAL"))&gt;2),"",IF(O57="","",COUNTIF($O$11:O57,"MEAL")))</f>
        <v/>
      </c>
      <c r="Q57" t="str">
        <f t="shared" si="14"/>
        <v/>
      </c>
      <c r="R57" t="str">
        <f t="shared" si="8"/>
        <v/>
      </c>
      <c r="S57" t="str">
        <f t="shared" si="15"/>
        <v/>
      </c>
    </row>
    <row r="58" spans="1:19" x14ac:dyDescent="0.25">
      <c r="A58">
        <v>48</v>
      </c>
      <c r="B58" t="str">
        <f>IF(ScoreHelper!C72="","",ScoreHelper!C72)</f>
        <v/>
      </c>
      <c r="C58" t="s">
        <v>1051</v>
      </c>
      <c r="D58" t="str">
        <f t="shared" si="9"/>
        <v/>
      </c>
      <c r="E58" t="str">
        <f>IF(B58="","",IF(COUNTIF($D$11:D58,D58)&gt;1,"DP",D58))</f>
        <v/>
      </c>
      <c r="F58" t="str">
        <f t="shared" si="10"/>
        <v/>
      </c>
      <c r="G58" t="str">
        <f t="shared" si="11"/>
        <v/>
      </c>
      <c r="H58" s="3" t="str">
        <f t="shared" si="4"/>
        <v/>
      </c>
      <c r="I58" t="str">
        <f t="shared" si="18"/>
        <v/>
      </c>
      <c r="J58" t="str">
        <f t="shared" si="18"/>
        <v/>
      </c>
      <c r="K58" t="str">
        <f t="shared" si="18"/>
        <v/>
      </c>
      <c r="L58" t="str">
        <f t="shared" si="18"/>
        <v/>
      </c>
      <c r="M58" t="str">
        <f t="shared" si="18"/>
        <v/>
      </c>
      <c r="N58" t="str">
        <f t="shared" si="13"/>
        <v/>
      </c>
      <c r="O58" s="33" t="str">
        <f t="shared" si="17"/>
        <v/>
      </c>
      <c r="P58" s="47" t="str">
        <f>IF(AND(VALUE(LEFT($B$3,2))=30,IF(O58="","",COUNTIF($O$11:O58,"MEAL"))&gt;2),"",IF(O58="","",COUNTIF($O$11:O58,"MEAL")))</f>
        <v/>
      </c>
      <c r="Q58" t="str">
        <f t="shared" si="14"/>
        <v/>
      </c>
      <c r="R58" t="str">
        <f t="shared" si="8"/>
        <v/>
      </c>
      <c r="S58" t="str">
        <f t="shared" si="15"/>
        <v/>
      </c>
    </row>
    <row r="59" spans="1:19" x14ac:dyDescent="0.25">
      <c r="A59">
        <v>49</v>
      </c>
      <c r="B59" t="str">
        <f>IF(ScoreHelper!C73="","",ScoreHelper!C73)</f>
        <v/>
      </c>
      <c r="C59" t="s">
        <v>1051</v>
      </c>
      <c r="D59" t="str">
        <f t="shared" si="9"/>
        <v/>
      </c>
      <c r="E59" t="str">
        <f>IF(B59="","",IF(COUNTIF($D$11:D59,D59)&gt;1,"DP",D59))</f>
        <v/>
      </c>
      <c r="F59" t="str">
        <f t="shared" si="10"/>
        <v/>
      </c>
      <c r="G59" t="str">
        <f t="shared" si="11"/>
        <v/>
      </c>
      <c r="H59" s="3" t="str">
        <f t="shared" si="4"/>
        <v/>
      </c>
      <c r="I59" t="str">
        <f t="shared" si="18"/>
        <v/>
      </c>
      <c r="J59" t="str">
        <f t="shared" si="18"/>
        <v/>
      </c>
      <c r="K59" t="str">
        <f t="shared" si="18"/>
        <v/>
      </c>
      <c r="L59" t="str">
        <f t="shared" si="18"/>
        <v/>
      </c>
      <c r="M59" t="str">
        <f t="shared" si="18"/>
        <v/>
      </c>
      <c r="N59" t="str">
        <f t="shared" si="13"/>
        <v/>
      </c>
      <c r="O59" s="33" t="str">
        <f t="shared" si="17"/>
        <v/>
      </c>
      <c r="P59" s="47" t="str">
        <f>IF(AND(VALUE(LEFT($B$3,2))=30,IF(O59="","",COUNTIF($O$11:O59,"MEAL"))&gt;2),"",IF(O59="","",COUNTIF($O$11:O59,"MEAL")))</f>
        <v/>
      </c>
      <c r="Q59" t="str">
        <f t="shared" si="14"/>
        <v/>
      </c>
      <c r="R59" t="str">
        <f t="shared" si="8"/>
        <v/>
      </c>
      <c r="S59" t="str">
        <f t="shared" si="15"/>
        <v/>
      </c>
    </row>
    <row r="60" spans="1:19" x14ac:dyDescent="0.25">
      <c r="A60">
        <v>50</v>
      </c>
      <c r="B60" t="str">
        <f>IF(ScoreHelper!C74="","",ScoreHelper!C74)</f>
        <v/>
      </c>
      <c r="C60" t="s">
        <v>1051</v>
      </c>
      <c r="D60" t="str">
        <f t="shared" si="9"/>
        <v/>
      </c>
      <c r="E60" t="str">
        <f>IF(B60="","",IF(COUNTIF($D$11:D60,D60)&gt;1,"DP",D60))</f>
        <v/>
      </c>
      <c r="F60" t="str">
        <f t="shared" si="10"/>
        <v/>
      </c>
      <c r="G60" t="str">
        <f t="shared" si="11"/>
        <v/>
      </c>
      <c r="H60" s="3" t="str">
        <f t="shared" si="4"/>
        <v/>
      </c>
      <c r="I60" t="str">
        <f t="shared" si="18"/>
        <v/>
      </c>
      <c r="J60" t="str">
        <f t="shared" si="18"/>
        <v/>
      </c>
      <c r="K60" t="str">
        <f t="shared" si="18"/>
        <v/>
      </c>
      <c r="L60" t="str">
        <f t="shared" si="18"/>
        <v/>
      </c>
      <c r="M60" t="str">
        <f t="shared" si="18"/>
        <v/>
      </c>
      <c r="N60" t="str">
        <f t="shared" si="13"/>
        <v/>
      </c>
      <c r="O60" s="33" t="str">
        <f t="shared" si="17"/>
        <v/>
      </c>
      <c r="P60" s="47" t="str">
        <f>IF(AND(VALUE(LEFT($B$3,2))=30,IF(O60="","",COUNTIF($O$11:O60,"MEAL"))&gt;2),"",IF(O60="","",COUNTIF($O$11:O60,"MEAL")))</f>
        <v/>
      </c>
      <c r="Q60" t="str">
        <f t="shared" si="14"/>
        <v/>
      </c>
      <c r="R60" t="str">
        <f t="shared" si="8"/>
        <v/>
      </c>
      <c r="S60" t="str">
        <f t="shared" si="15"/>
        <v/>
      </c>
    </row>
    <row r="61" spans="1:19" x14ac:dyDescent="0.25">
      <c r="A61">
        <v>51</v>
      </c>
      <c r="B61" t="str">
        <f>IF(ScoreHelper!C75="","",ScoreHelper!C75)</f>
        <v/>
      </c>
      <c r="C61" t="s">
        <v>1051</v>
      </c>
      <c r="D61" t="str">
        <f t="shared" si="9"/>
        <v/>
      </c>
      <c r="E61" t="str">
        <f>IF(B61="","",IF(COUNTIF($D$11:D61,D61)&gt;1,"DP",D61))</f>
        <v/>
      </c>
      <c r="F61" t="str">
        <f t="shared" si="10"/>
        <v/>
      </c>
      <c r="G61" t="str">
        <f t="shared" si="11"/>
        <v/>
      </c>
      <c r="H61" s="3" t="str">
        <f t="shared" si="4"/>
        <v/>
      </c>
      <c r="I61" t="str">
        <f t="shared" si="18"/>
        <v/>
      </c>
      <c r="J61" t="str">
        <f t="shared" si="18"/>
        <v/>
      </c>
      <c r="K61" t="str">
        <f t="shared" si="18"/>
        <v/>
      </c>
      <c r="L61" t="str">
        <f t="shared" si="18"/>
        <v/>
      </c>
      <c r="M61" t="str">
        <f t="shared" si="18"/>
        <v/>
      </c>
      <c r="N61" t="str">
        <f t="shared" si="13"/>
        <v/>
      </c>
      <c r="O61" s="33" t="str">
        <f t="shared" si="17"/>
        <v/>
      </c>
      <c r="P61" s="47" t="str">
        <f>IF(AND(VALUE(LEFT($B$3,2))=30,IF(O61="","",COUNTIF($O$11:O61,"MEAL"))&gt;2),"",IF(O61="","",COUNTIF($O$11:O61,"MEAL")))</f>
        <v/>
      </c>
      <c r="Q61" t="str">
        <f t="shared" si="14"/>
        <v/>
      </c>
      <c r="R61" t="str">
        <f t="shared" si="8"/>
        <v/>
      </c>
      <c r="S61" t="str">
        <f t="shared" si="15"/>
        <v/>
      </c>
    </row>
    <row r="62" spans="1:19" x14ac:dyDescent="0.25">
      <c r="A62">
        <v>52</v>
      </c>
      <c r="B62" t="str">
        <f>IF(ScoreHelper!C76="","",ScoreHelper!C76)</f>
        <v/>
      </c>
      <c r="C62" t="s">
        <v>1051</v>
      </c>
      <c r="D62" t="str">
        <f t="shared" si="9"/>
        <v/>
      </c>
      <c r="E62" t="str">
        <f>IF(B62="","",IF(COUNTIF($D$11:D62,D62)&gt;1,"DP",D62))</f>
        <v/>
      </c>
      <c r="F62" t="str">
        <f t="shared" si="10"/>
        <v/>
      </c>
      <c r="G62" t="str">
        <f t="shared" si="11"/>
        <v/>
      </c>
      <c r="H62" s="3" t="str">
        <f t="shared" si="4"/>
        <v/>
      </c>
      <c r="I62" t="str">
        <f t="shared" si="18"/>
        <v/>
      </c>
      <c r="J62" t="str">
        <f t="shared" si="18"/>
        <v/>
      </c>
      <c r="K62" t="str">
        <f t="shared" si="18"/>
        <v/>
      </c>
      <c r="L62" t="str">
        <f t="shared" si="18"/>
        <v/>
      </c>
      <c r="M62" t="str">
        <f t="shared" si="18"/>
        <v/>
      </c>
      <c r="N62" t="str">
        <f t="shared" si="13"/>
        <v/>
      </c>
      <c r="O62" s="33" t="str">
        <f t="shared" si="17"/>
        <v/>
      </c>
      <c r="P62" s="47" t="str">
        <f>IF(AND(VALUE(LEFT($B$3,2))=30,IF(O62="","",COUNTIF($O$11:O62,"MEAL"))&gt;2),"",IF(O62="","",COUNTIF($O$11:O62,"MEAL")))</f>
        <v/>
      </c>
      <c r="Q62" t="str">
        <f t="shared" si="14"/>
        <v/>
      </c>
      <c r="R62" t="str">
        <f t="shared" si="8"/>
        <v/>
      </c>
      <c r="S62" t="str">
        <f t="shared" si="15"/>
        <v/>
      </c>
    </row>
    <row r="63" spans="1:19" x14ac:dyDescent="0.25">
      <c r="A63">
        <v>53</v>
      </c>
      <c r="B63" t="str">
        <f>IF(ScoreHelper!C77="","",ScoreHelper!C77)</f>
        <v/>
      </c>
      <c r="C63" t="s">
        <v>1051</v>
      </c>
      <c r="D63" t="str">
        <f t="shared" si="9"/>
        <v/>
      </c>
      <c r="E63" t="str">
        <f>IF(B63="","",IF(COUNTIF($D$11:D63,D63)&gt;1,"DP",D63))</f>
        <v/>
      </c>
      <c r="F63" t="str">
        <f t="shared" si="10"/>
        <v/>
      </c>
      <c r="G63" t="str">
        <f t="shared" si="11"/>
        <v/>
      </c>
      <c r="H63" s="3" t="str">
        <f t="shared" si="4"/>
        <v/>
      </c>
      <c r="I63" t="str">
        <f t="shared" si="18"/>
        <v/>
      </c>
      <c r="J63" t="str">
        <f t="shared" si="18"/>
        <v/>
      </c>
      <c r="K63" t="str">
        <f t="shared" si="18"/>
        <v/>
      </c>
      <c r="L63" t="str">
        <f t="shared" si="18"/>
        <v/>
      </c>
      <c r="M63" t="str">
        <f t="shared" si="18"/>
        <v/>
      </c>
      <c r="N63" t="str">
        <f t="shared" si="13"/>
        <v/>
      </c>
      <c r="O63" s="33" t="str">
        <f t="shared" si="17"/>
        <v/>
      </c>
      <c r="P63" s="47" t="str">
        <f>IF(AND(VALUE(LEFT($B$3,2))=30,IF(O63="","",COUNTIF($O$11:O63,"MEAL"))&gt;2),"",IF(O63="","",COUNTIF($O$11:O63,"MEAL")))</f>
        <v/>
      </c>
      <c r="Q63" t="str">
        <f t="shared" si="14"/>
        <v/>
      </c>
      <c r="R63" t="str">
        <f t="shared" si="8"/>
        <v/>
      </c>
      <c r="S63" t="str">
        <f t="shared" si="15"/>
        <v/>
      </c>
    </row>
    <row r="64" spans="1:19" x14ac:dyDescent="0.25">
      <c r="A64">
        <v>54</v>
      </c>
      <c r="B64" t="str">
        <f>IF(ScoreHelper!C78="","",ScoreHelper!C78)</f>
        <v/>
      </c>
      <c r="C64" t="s">
        <v>1051</v>
      </c>
      <c r="D64" t="str">
        <f t="shared" si="9"/>
        <v/>
      </c>
      <c r="E64" t="str">
        <f>IF(B64="","",IF(COUNTIF($D$11:D64,D64)&gt;1,"DP",D64))</f>
        <v/>
      </c>
      <c r="F64" t="str">
        <f t="shared" si="10"/>
        <v/>
      </c>
      <c r="G64" t="str">
        <f t="shared" si="11"/>
        <v/>
      </c>
      <c r="H64" s="3" t="str">
        <f t="shared" si="4"/>
        <v/>
      </c>
      <c r="I64" t="str">
        <f t="shared" si="18"/>
        <v/>
      </c>
      <c r="J64" t="str">
        <f t="shared" si="18"/>
        <v/>
      </c>
      <c r="K64" t="str">
        <f t="shared" si="18"/>
        <v/>
      </c>
      <c r="L64" t="str">
        <f t="shared" si="18"/>
        <v/>
      </c>
      <c r="M64" t="str">
        <f t="shared" si="18"/>
        <v/>
      </c>
      <c r="N64" t="str">
        <f t="shared" si="13"/>
        <v/>
      </c>
      <c r="O64" s="33" t="str">
        <f t="shared" si="17"/>
        <v/>
      </c>
      <c r="P64" s="47" t="str">
        <f>IF(AND(VALUE(LEFT($B$3,2))=30,IF(O64="","",COUNTIF($O$11:O64,"MEAL"))&gt;2),"",IF(O64="","",COUNTIF($O$11:O64,"MEAL")))</f>
        <v/>
      </c>
      <c r="Q64" t="str">
        <f t="shared" si="14"/>
        <v/>
      </c>
      <c r="R64" t="str">
        <f t="shared" si="8"/>
        <v/>
      </c>
      <c r="S64" t="str">
        <f t="shared" si="15"/>
        <v/>
      </c>
    </row>
    <row r="65" spans="1:19" x14ac:dyDescent="0.25">
      <c r="A65">
        <v>55</v>
      </c>
      <c r="B65" t="str">
        <f>IF(ScoreHelper!C79="","",ScoreHelper!C79)</f>
        <v/>
      </c>
      <c r="C65" t="s">
        <v>1051</v>
      </c>
      <c r="D65" t="str">
        <f t="shared" si="9"/>
        <v/>
      </c>
      <c r="E65" t="str">
        <f>IF(B65="","",IF(COUNTIF($D$11:D65,D65)&gt;1,"DP",D65))</f>
        <v/>
      </c>
      <c r="F65" t="str">
        <f t="shared" si="10"/>
        <v/>
      </c>
      <c r="G65" t="str">
        <f t="shared" si="11"/>
        <v/>
      </c>
      <c r="H65" s="3" t="str">
        <f t="shared" si="4"/>
        <v/>
      </c>
      <c r="I65" t="str">
        <f t="shared" si="18"/>
        <v/>
      </c>
      <c r="J65" t="str">
        <f t="shared" si="18"/>
        <v/>
      </c>
      <c r="K65" t="str">
        <f t="shared" si="18"/>
        <v/>
      </c>
      <c r="L65" t="str">
        <f t="shared" si="18"/>
        <v/>
      </c>
      <c r="M65" t="str">
        <f t="shared" si="18"/>
        <v/>
      </c>
      <c r="N65" t="str">
        <f t="shared" si="13"/>
        <v/>
      </c>
      <c r="O65" s="33" t="str">
        <f t="shared" si="17"/>
        <v/>
      </c>
      <c r="P65" s="47" t="str">
        <f>IF(AND(VALUE(LEFT($B$3,2))=30,IF(O65="","",COUNTIF($O$11:O65,"MEAL"))&gt;2),"",IF(O65="","",COUNTIF($O$11:O65,"MEAL")))</f>
        <v/>
      </c>
      <c r="Q65" t="str">
        <f t="shared" si="14"/>
        <v/>
      </c>
      <c r="R65" t="str">
        <f t="shared" si="8"/>
        <v/>
      </c>
      <c r="S65" t="str">
        <f t="shared" si="15"/>
        <v/>
      </c>
    </row>
    <row r="66" spans="1:19" x14ac:dyDescent="0.25">
      <c r="A66">
        <v>56</v>
      </c>
      <c r="B66" t="str">
        <f>IF(ScoreHelper!C80="","",ScoreHelper!C80)</f>
        <v/>
      </c>
      <c r="C66" t="s">
        <v>1051</v>
      </c>
      <c r="D66" t="str">
        <f t="shared" si="9"/>
        <v/>
      </c>
      <c r="E66" t="str">
        <f>IF(B66="","",IF(COUNTIF($D$11:D66,D66)&gt;1,"DP",D66))</f>
        <v/>
      </c>
      <c r="F66" t="str">
        <f t="shared" si="10"/>
        <v/>
      </c>
      <c r="G66" t="str">
        <f t="shared" si="11"/>
        <v/>
      </c>
      <c r="H66" s="3" t="str">
        <f t="shared" si="4"/>
        <v/>
      </c>
      <c r="I66" t="str">
        <f t="shared" si="18"/>
        <v/>
      </c>
      <c r="J66" t="str">
        <f t="shared" si="18"/>
        <v/>
      </c>
      <c r="K66" t="str">
        <f t="shared" si="18"/>
        <v/>
      </c>
      <c r="L66" t="str">
        <f t="shared" si="18"/>
        <v/>
      </c>
      <c r="M66" t="str">
        <f t="shared" si="18"/>
        <v/>
      </c>
      <c r="N66" t="str">
        <f t="shared" si="13"/>
        <v/>
      </c>
      <c r="O66" s="33" t="str">
        <f t="shared" si="17"/>
        <v/>
      </c>
      <c r="P66" s="47" t="str">
        <f>IF(AND(VALUE(LEFT($B$3,2))=30,IF(O66="","",COUNTIF($O$11:O66,"MEAL"))&gt;2),"",IF(O66="","",COUNTIF($O$11:O66,"MEAL")))</f>
        <v/>
      </c>
      <c r="Q66" t="str">
        <f t="shared" si="14"/>
        <v/>
      </c>
      <c r="R66" t="str">
        <f t="shared" si="8"/>
        <v/>
      </c>
      <c r="S66" t="str">
        <f t="shared" si="15"/>
        <v/>
      </c>
    </row>
    <row r="67" spans="1:19" x14ac:dyDescent="0.25">
      <c r="A67">
        <v>57</v>
      </c>
      <c r="B67" t="str">
        <f>IF(ScoreHelper!C81="","",ScoreHelper!C81)</f>
        <v/>
      </c>
      <c r="C67" t="s">
        <v>1051</v>
      </c>
      <c r="D67" t="str">
        <f t="shared" si="9"/>
        <v/>
      </c>
      <c r="E67" t="str">
        <f>IF(B67="","",IF(COUNTIF($D$11:D67,D67)&gt;1,"DP",D67))</f>
        <v/>
      </c>
      <c r="F67" t="str">
        <f t="shared" si="10"/>
        <v/>
      </c>
      <c r="G67" t="str">
        <f t="shared" si="11"/>
        <v/>
      </c>
      <c r="H67" s="3" t="str">
        <f t="shared" si="4"/>
        <v/>
      </c>
      <c r="I67" t="str">
        <f t="shared" si="18"/>
        <v/>
      </c>
      <c r="J67" t="str">
        <f t="shared" si="18"/>
        <v/>
      </c>
      <c r="K67" t="str">
        <f t="shared" si="18"/>
        <v/>
      </c>
      <c r="L67" t="str">
        <f t="shared" si="18"/>
        <v/>
      </c>
      <c r="M67" t="str">
        <f t="shared" si="18"/>
        <v/>
      </c>
      <c r="N67" t="str">
        <f t="shared" si="13"/>
        <v/>
      </c>
      <c r="O67" s="33" t="str">
        <f t="shared" si="17"/>
        <v/>
      </c>
      <c r="P67" s="47" t="str">
        <f>IF(AND(VALUE(LEFT($B$3,2))=30,IF(O67="","",COUNTIF($O$11:O67,"MEAL"))&gt;2),"",IF(O67="","",COUNTIF($O$11:O67,"MEAL")))</f>
        <v/>
      </c>
      <c r="Q67" t="str">
        <f t="shared" si="14"/>
        <v/>
      </c>
      <c r="R67" t="str">
        <f t="shared" si="8"/>
        <v/>
      </c>
      <c r="S67" t="str">
        <f t="shared" si="15"/>
        <v/>
      </c>
    </row>
    <row r="68" spans="1:19" x14ac:dyDescent="0.25">
      <c r="A68">
        <v>58</v>
      </c>
      <c r="B68" t="str">
        <f>IF(ScoreHelper!C82="","",ScoreHelper!C82)</f>
        <v/>
      </c>
      <c r="C68" t="s">
        <v>1051</v>
      </c>
      <c r="D68" t="str">
        <f t="shared" si="9"/>
        <v/>
      </c>
      <c r="E68" t="str">
        <f>IF(B68="","",IF(COUNTIF($D$11:D68,D68)&gt;1,"DP",D68))</f>
        <v/>
      </c>
      <c r="F68" t="str">
        <f t="shared" si="10"/>
        <v/>
      </c>
      <c r="G68" t="str">
        <f t="shared" si="11"/>
        <v/>
      </c>
      <c r="H68" s="3" t="str">
        <f t="shared" si="4"/>
        <v/>
      </c>
      <c r="I68" t="str">
        <f t="shared" si="18"/>
        <v/>
      </c>
      <c r="J68" t="str">
        <f t="shared" si="18"/>
        <v/>
      </c>
      <c r="K68" t="str">
        <f t="shared" si="18"/>
        <v/>
      </c>
      <c r="L68" t="str">
        <f t="shared" si="18"/>
        <v/>
      </c>
      <c r="M68" t="str">
        <f t="shared" si="18"/>
        <v/>
      </c>
      <c r="N68" t="str">
        <f t="shared" si="13"/>
        <v/>
      </c>
      <c r="O68" s="33" t="str">
        <f t="shared" si="17"/>
        <v/>
      </c>
      <c r="P68" s="47" t="str">
        <f>IF(AND(VALUE(LEFT($B$3,2))=30,IF(O68="","",COUNTIF($O$11:O68,"MEAL"))&gt;2),"",IF(O68="","",COUNTIF($O$11:O68,"MEAL")))</f>
        <v/>
      </c>
      <c r="Q68" t="str">
        <f t="shared" si="14"/>
        <v/>
      </c>
      <c r="R68" t="str">
        <f t="shared" si="8"/>
        <v/>
      </c>
      <c r="S68" t="str">
        <f t="shared" si="15"/>
        <v/>
      </c>
    </row>
    <row r="69" spans="1:19" x14ac:dyDescent="0.25">
      <c r="A69">
        <v>59</v>
      </c>
      <c r="B69" t="str">
        <f>IF(ScoreHelper!C83="","",ScoreHelper!C83)</f>
        <v/>
      </c>
      <c r="C69" t="s">
        <v>1051</v>
      </c>
      <c r="D69" t="str">
        <f t="shared" si="9"/>
        <v/>
      </c>
      <c r="E69" t="str">
        <f>IF(B69="","",IF(COUNTIF($D$11:D69,D69)&gt;1,"DP",D69))</f>
        <v/>
      </c>
      <c r="F69" t="str">
        <f t="shared" si="10"/>
        <v/>
      </c>
      <c r="G69" t="str">
        <f t="shared" si="11"/>
        <v/>
      </c>
      <c r="H69" s="3" t="str">
        <f t="shared" si="4"/>
        <v/>
      </c>
      <c r="I69" t="str">
        <f t="shared" si="18"/>
        <v/>
      </c>
      <c r="J69" t="str">
        <f t="shared" si="18"/>
        <v/>
      </c>
      <c r="K69" t="str">
        <f t="shared" si="18"/>
        <v/>
      </c>
      <c r="L69" t="str">
        <f t="shared" si="18"/>
        <v/>
      </c>
      <c r="M69" t="str">
        <f t="shared" si="18"/>
        <v/>
      </c>
      <c r="N69" t="str">
        <f t="shared" si="13"/>
        <v/>
      </c>
      <c r="O69" s="33" t="str">
        <f t="shared" si="17"/>
        <v/>
      </c>
      <c r="P69" s="47" t="str">
        <f>IF(AND(VALUE(LEFT($B$3,2))=30,IF(O69="","",COUNTIF($O$11:O69,"MEAL"))&gt;2),"",IF(O69="","",COUNTIF($O$11:O69,"MEAL")))</f>
        <v/>
      </c>
      <c r="Q69" t="str">
        <f t="shared" si="14"/>
        <v/>
      </c>
      <c r="R69" t="str">
        <f t="shared" si="8"/>
        <v/>
      </c>
      <c r="S69" t="str">
        <f t="shared" si="15"/>
        <v/>
      </c>
    </row>
    <row r="70" spans="1:19" x14ac:dyDescent="0.25">
      <c r="A70">
        <v>60</v>
      </c>
      <c r="B70" t="str">
        <f>IF(ScoreHelper!C84="","",ScoreHelper!C84)</f>
        <v/>
      </c>
      <c r="C70" t="s">
        <v>1051</v>
      </c>
      <c r="D70" t="str">
        <f t="shared" si="9"/>
        <v/>
      </c>
      <c r="E70" t="str">
        <f>IF(B70="","",IF(COUNTIF($D$11:D70,D70)&gt;1,"DP",D70))</f>
        <v/>
      </c>
      <c r="F70" t="str">
        <f t="shared" si="10"/>
        <v/>
      </c>
      <c r="G70" t="str">
        <f t="shared" si="11"/>
        <v/>
      </c>
      <c r="H70" s="3" t="str">
        <f t="shared" si="4"/>
        <v/>
      </c>
      <c r="I70" t="str">
        <f t="shared" si="18"/>
        <v/>
      </c>
      <c r="J70" t="str">
        <f t="shared" si="18"/>
        <v/>
      </c>
      <c r="K70" t="str">
        <f t="shared" si="18"/>
        <v/>
      </c>
      <c r="L70" t="str">
        <f t="shared" si="18"/>
        <v/>
      </c>
      <c r="M70" t="str">
        <f t="shared" si="18"/>
        <v/>
      </c>
      <c r="N70" t="str">
        <f t="shared" si="13"/>
        <v/>
      </c>
      <c r="O70" s="33" t="str">
        <f t="shared" si="17"/>
        <v/>
      </c>
      <c r="P70" s="47" t="str">
        <f>IF(AND(VALUE(LEFT($B$3,2))=30,IF(O70="","",COUNTIF($O$11:O70,"MEAL"))&gt;2),"",IF(O70="","",COUNTIF($O$11:O70,"MEAL")))</f>
        <v/>
      </c>
      <c r="Q70" t="str">
        <f t="shared" si="14"/>
        <v/>
      </c>
      <c r="R70" t="str">
        <f t="shared" si="8"/>
        <v/>
      </c>
      <c r="S70" t="str">
        <f t="shared" si="15"/>
        <v/>
      </c>
    </row>
    <row r="71" spans="1:19" x14ac:dyDescent="0.25">
      <c r="A71">
        <v>61</v>
      </c>
      <c r="B71" t="str">
        <f>IF(ScoreHelper!C85="","",ScoreHelper!C85)</f>
        <v/>
      </c>
      <c r="C71" t="s">
        <v>1051</v>
      </c>
      <c r="D71" t="str">
        <f t="shared" si="9"/>
        <v/>
      </c>
      <c r="E71" t="str">
        <f>IF(B71="","",IF(COUNTIF($D$11:D71,D71)&gt;1,"DP",D71))</f>
        <v/>
      </c>
      <c r="F71" t="str">
        <f t="shared" si="10"/>
        <v/>
      </c>
      <c r="G71" t="str">
        <f t="shared" si="11"/>
        <v/>
      </c>
      <c r="H71" s="3" t="str">
        <f t="shared" si="4"/>
        <v/>
      </c>
      <c r="I71" t="str">
        <f t="shared" si="18"/>
        <v/>
      </c>
      <c r="J71" t="str">
        <f t="shared" si="18"/>
        <v/>
      </c>
      <c r="K71" t="str">
        <f t="shared" si="18"/>
        <v/>
      </c>
      <c r="L71" t="str">
        <f t="shared" si="18"/>
        <v/>
      </c>
      <c r="M71" t="str">
        <f t="shared" si="18"/>
        <v/>
      </c>
      <c r="N71" t="str">
        <f t="shared" si="13"/>
        <v/>
      </c>
      <c r="O71" s="33" t="str">
        <f t="shared" si="17"/>
        <v/>
      </c>
      <c r="P71" s="47" t="str">
        <f>IF(AND(VALUE(LEFT($B$3,2))=30,IF(O71="","",COUNTIF($O$11:O71,"MEAL"))&gt;2),"",IF(O71="","",COUNTIF($O$11:O71,"MEAL")))</f>
        <v/>
      </c>
      <c r="Q71" t="str">
        <f t="shared" si="14"/>
        <v/>
      </c>
      <c r="R71" t="str">
        <f t="shared" si="8"/>
        <v/>
      </c>
      <c r="S71" t="str">
        <f t="shared" si="15"/>
        <v/>
      </c>
    </row>
    <row r="72" spans="1:19" x14ac:dyDescent="0.25">
      <c r="A72">
        <v>62</v>
      </c>
      <c r="B72" t="str">
        <f>IF(ScoreHelper!C86="","",ScoreHelper!C86)</f>
        <v/>
      </c>
      <c r="C72" t="s">
        <v>1051</v>
      </c>
      <c r="D72" t="str">
        <f t="shared" si="9"/>
        <v/>
      </c>
      <c r="E72" t="str">
        <f>IF(B72="","",IF(COUNTIF($D$11:D72,D72)&gt;1,"DP",D72))</f>
        <v/>
      </c>
      <c r="F72" t="str">
        <f t="shared" si="10"/>
        <v/>
      </c>
      <c r="G72" t="str">
        <f t="shared" si="11"/>
        <v/>
      </c>
      <c r="H72" s="3" t="str">
        <f t="shared" si="4"/>
        <v/>
      </c>
      <c r="I72" t="str">
        <f t="shared" si="18"/>
        <v/>
      </c>
      <c r="J72" t="str">
        <f t="shared" si="18"/>
        <v/>
      </c>
      <c r="K72" t="str">
        <f t="shared" si="18"/>
        <v/>
      </c>
      <c r="L72" t="str">
        <f t="shared" si="18"/>
        <v/>
      </c>
      <c r="M72" t="str">
        <f t="shared" si="18"/>
        <v/>
      </c>
      <c r="N72" t="str">
        <f t="shared" si="13"/>
        <v/>
      </c>
      <c r="O72" s="33" t="str">
        <f t="shared" si="17"/>
        <v/>
      </c>
      <c r="P72" s="47" t="str">
        <f>IF(AND(VALUE(LEFT($B$3,2))=30,IF(O72="","",COUNTIF($O$11:O72,"MEAL"))&gt;2),"",IF(O72="","",COUNTIF($O$11:O72,"MEAL")))</f>
        <v/>
      </c>
      <c r="Q72" t="str">
        <f t="shared" si="14"/>
        <v/>
      </c>
      <c r="R72" t="str">
        <f t="shared" si="8"/>
        <v/>
      </c>
      <c r="S72" t="str">
        <f t="shared" si="15"/>
        <v/>
      </c>
    </row>
    <row r="73" spans="1:19" x14ac:dyDescent="0.25">
      <c r="A73">
        <v>63</v>
      </c>
      <c r="B73" t="str">
        <f>IF(ScoreHelper!C87="","",ScoreHelper!C87)</f>
        <v/>
      </c>
      <c r="C73" t="s">
        <v>1051</v>
      </c>
      <c r="D73" t="str">
        <f t="shared" si="9"/>
        <v/>
      </c>
      <c r="E73" t="str">
        <f>IF(B73="","",IF(COUNTIF($D$11:D73,D73)&gt;1,"DP",D73))</f>
        <v/>
      </c>
      <c r="F73" t="str">
        <f t="shared" si="10"/>
        <v/>
      </c>
      <c r="G73" t="str">
        <f t="shared" si="11"/>
        <v/>
      </c>
      <c r="H73" s="3" t="str">
        <f t="shared" si="4"/>
        <v/>
      </c>
      <c r="I73" t="str">
        <f t="shared" si="18"/>
        <v/>
      </c>
      <c r="J73" t="str">
        <f t="shared" si="18"/>
        <v/>
      </c>
      <c r="K73" t="str">
        <f t="shared" si="18"/>
        <v/>
      </c>
      <c r="L73" t="str">
        <f t="shared" si="18"/>
        <v/>
      </c>
      <c r="M73" t="str">
        <f t="shared" si="18"/>
        <v/>
      </c>
      <c r="N73" t="str">
        <f t="shared" si="13"/>
        <v/>
      </c>
      <c r="O73" s="33" t="str">
        <f t="shared" si="17"/>
        <v/>
      </c>
      <c r="P73" s="47" t="str">
        <f>IF(AND(VALUE(LEFT($B$3,2))=30,IF(O73="","",COUNTIF($O$11:O73,"MEAL"))&gt;2),"",IF(O73="","",COUNTIF($O$11:O73,"MEAL")))</f>
        <v/>
      </c>
      <c r="Q73" t="str">
        <f t="shared" si="14"/>
        <v/>
      </c>
      <c r="R73" t="str">
        <f t="shared" si="8"/>
        <v/>
      </c>
      <c r="S73" t="str">
        <f t="shared" si="15"/>
        <v/>
      </c>
    </row>
    <row r="74" spans="1:19" x14ac:dyDescent="0.25">
      <c r="A74">
        <v>64</v>
      </c>
      <c r="B74" t="str">
        <f>IF(ScoreHelper!C88="","",ScoreHelper!C88)</f>
        <v/>
      </c>
      <c r="C74" t="s">
        <v>1051</v>
      </c>
      <c r="D74" t="str">
        <f t="shared" si="9"/>
        <v/>
      </c>
      <c r="E74" t="str">
        <f>IF(B74="","",IF(COUNTIF($D$11:D74,D74)&gt;1,"DP",D74))</f>
        <v/>
      </c>
      <c r="F74" t="str">
        <f t="shared" si="10"/>
        <v/>
      </c>
      <c r="G74" t="str">
        <f t="shared" si="11"/>
        <v/>
      </c>
      <c r="H74" s="3" t="str">
        <f t="shared" si="4"/>
        <v/>
      </c>
      <c r="I74" t="str">
        <f t="shared" si="18"/>
        <v/>
      </c>
      <c r="J74" t="str">
        <f t="shared" si="18"/>
        <v/>
      </c>
      <c r="K74" t="str">
        <f t="shared" si="18"/>
        <v/>
      </c>
      <c r="L74" t="str">
        <f t="shared" si="18"/>
        <v/>
      </c>
      <c r="M74" t="str">
        <f t="shared" si="18"/>
        <v/>
      </c>
      <c r="N74" t="str">
        <f t="shared" si="13"/>
        <v/>
      </c>
      <c r="O74" s="33" t="str">
        <f t="shared" si="17"/>
        <v/>
      </c>
      <c r="P74" s="47" t="str">
        <f>IF(AND(VALUE(LEFT($B$3,2))=30,IF(O74="","",COUNTIF($O$11:O74,"MEAL"))&gt;2),"",IF(O74="","",COUNTIF($O$11:O74,"MEAL")))</f>
        <v/>
      </c>
      <c r="Q74" t="str">
        <f t="shared" si="14"/>
        <v/>
      </c>
      <c r="R74" t="str">
        <f t="shared" si="8"/>
        <v/>
      </c>
      <c r="S74" t="str">
        <f t="shared" si="15"/>
        <v/>
      </c>
    </row>
    <row r="75" spans="1:19" x14ac:dyDescent="0.25">
      <c r="A75">
        <v>65</v>
      </c>
      <c r="B75" t="str">
        <f>IF(ScoreHelper!C89="","",ScoreHelper!C89)</f>
        <v/>
      </c>
      <c r="C75" t="s">
        <v>1051</v>
      </c>
      <c r="D75" t="str">
        <f t="shared" si="9"/>
        <v/>
      </c>
      <c r="E75" t="str">
        <f>IF(B75="","",IF(COUNTIF($D$11:D75,D75)&gt;1,"DP",D75))</f>
        <v/>
      </c>
      <c r="F75" t="str">
        <f t="shared" si="10"/>
        <v/>
      </c>
      <c r="G75" t="str">
        <f t="shared" si="11"/>
        <v/>
      </c>
      <c r="H75" s="3" t="str">
        <f t="shared" ref="H75:H125" si="19">IF(F75="","",_xlfn.IFNA(VLOOKUP(F75,$A$201:$I$345,9,FALSE),IF(COUNTIF($A$348:$A$417,F75)=1,"MEAL/REST","")))</f>
        <v/>
      </c>
      <c r="I75" t="str">
        <f t="shared" si="18"/>
        <v/>
      </c>
      <c r="J75" t="str">
        <f t="shared" si="18"/>
        <v/>
      </c>
      <c r="K75" t="str">
        <f t="shared" si="18"/>
        <v/>
      </c>
      <c r="L75" t="str">
        <f t="shared" si="18"/>
        <v/>
      </c>
      <c r="M75" t="str">
        <f t="shared" si="18"/>
        <v/>
      </c>
      <c r="N75" t="str">
        <f t="shared" si="13"/>
        <v/>
      </c>
      <c r="O75" s="33" t="str">
        <f t="shared" si="17"/>
        <v/>
      </c>
      <c r="P75" s="47" t="str">
        <f>IF(AND(VALUE(LEFT($B$3,2))=30,IF(O75="","",COUNTIF($O$11:O75,"MEAL"))&gt;2),"",IF(O75="","",COUNTIF($O$11:O75,"MEAL")))</f>
        <v/>
      </c>
      <c r="Q75" t="str">
        <f t="shared" si="14"/>
        <v/>
      </c>
      <c r="R75" t="str">
        <f t="shared" ref="R75:R125" si="20">IF(O75="MEAL",F75,"")</f>
        <v/>
      </c>
      <c r="S75" t="str">
        <f t="shared" si="15"/>
        <v/>
      </c>
    </row>
    <row r="76" spans="1:19" x14ac:dyDescent="0.25">
      <c r="A76">
        <v>66</v>
      </c>
      <c r="B76" t="str">
        <f>IF(ScoreHelper!C90="","",ScoreHelper!C90)</f>
        <v/>
      </c>
      <c r="C76" t="s">
        <v>1051</v>
      </c>
      <c r="D76" t="str">
        <f t="shared" ref="D76:D125" si="21">IF(B76="","",IF(C76="D","",B76))</f>
        <v/>
      </c>
      <c r="E76" t="str">
        <f>IF(B76="","",IF(COUNTIF($D$11:D76,D76)&gt;1,"DP",D76))</f>
        <v/>
      </c>
      <c r="F76" t="str">
        <f t="shared" ref="F76:F125" si="22">IF(B76="","",IF(D76=E76,E76,""))</f>
        <v/>
      </c>
      <c r="G76" t="str">
        <f t="shared" ref="G76:G125" si="23">IF(F76="","",VLOOKUP(F76,$A$201:$N$420,7,FALSE))</f>
        <v/>
      </c>
      <c r="H76" s="3" t="str">
        <f t="shared" si="19"/>
        <v/>
      </c>
      <c r="I76" t="str">
        <f t="shared" ref="I76:M107" si="24">IF($F76="","",IF($H76=I$10,$G76,""))</f>
        <v/>
      </c>
      <c r="J76" t="str">
        <f t="shared" si="24"/>
        <v/>
      </c>
      <c r="K76" t="str">
        <f t="shared" si="24"/>
        <v/>
      </c>
      <c r="L76" t="str">
        <f t="shared" si="24"/>
        <v/>
      </c>
      <c r="M76" t="str">
        <f t="shared" si="24"/>
        <v/>
      </c>
      <c r="N76" t="str">
        <f t="shared" ref="N76:N125" si="25">IF(COUNTIF($A$348:$A$417,F76)=1,"Y","")</f>
        <v/>
      </c>
      <c r="O76" s="33" t="str">
        <f t="shared" ref="O76:O125" si="26">IF(COUNTIF($A$354:$A$417,F76)=1,"MEAL","")</f>
        <v/>
      </c>
      <c r="P76" s="47" t="str">
        <f>IF(AND(VALUE(LEFT($B$3,2))=30,IF(O76="","",COUNTIF($O$11:O76,"MEAL"))&gt;2),"",IF(O76="","",COUNTIF($O$11:O76,"MEAL")))</f>
        <v/>
      </c>
      <c r="Q76" t="str">
        <f t="shared" ref="Q76:Q125" si="27">O76&amp;P76</f>
        <v/>
      </c>
      <c r="R76" t="str">
        <f t="shared" si="20"/>
        <v/>
      </c>
      <c r="S76" t="str">
        <f t="shared" ref="S76:S125" si="28">IF(F76="","",VLOOKUP(F76,$A$201:$J$345,10,FALSE)&amp;VLOOKUP(F76,$A$201:$J$345,8,FALSE))</f>
        <v/>
      </c>
    </row>
    <row r="77" spans="1:19" x14ac:dyDescent="0.25">
      <c r="A77">
        <v>67</v>
      </c>
      <c r="B77" t="str">
        <f>IF(ScoreHelper!C91="","",ScoreHelper!C91)</f>
        <v/>
      </c>
      <c r="C77" t="s">
        <v>1051</v>
      </c>
      <c r="D77" t="str">
        <f t="shared" si="21"/>
        <v/>
      </c>
      <c r="E77" t="str">
        <f>IF(B77="","",IF(COUNTIF($D$11:D77,D77)&gt;1,"DP",D77))</f>
        <v/>
      </c>
      <c r="F77" t="str">
        <f t="shared" si="22"/>
        <v/>
      </c>
      <c r="G77" t="str">
        <f t="shared" si="23"/>
        <v/>
      </c>
      <c r="H77" s="3" t="str">
        <f t="shared" si="19"/>
        <v/>
      </c>
      <c r="I77" t="str">
        <f t="shared" si="24"/>
        <v/>
      </c>
      <c r="J77" t="str">
        <f t="shared" si="24"/>
        <v/>
      </c>
      <c r="K77" t="str">
        <f t="shared" si="24"/>
        <v/>
      </c>
      <c r="L77" t="str">
        <f t="shared" si="24"/>
        <v/>
      </c>
      <c r="M77" t="str">
        <f t="shared" si="24"/>
        <v/>
      </c>
      <c r="N77" t="str">
        <f t="shared" si="25"/>
        <v/>
      </c>
      <c r="O77" s="33" t="str">
        <f t="shared" si="26"/>
        <v/>
      </c>
      <c r="P77" s="47" t="str">
        <f>IF(AND(VALUE(LEFT($B$3,2))=30,IF(O77="","",COUNTIF($O$11:O77,"MEAL"))&gt;2),"",IF(O77="","",COUNTIF($O$11:O77,"MEAL")))</f>
        <v/>
      </c>
      <c r="Q77" t="str">
        <f t="shared" si="27"/>
        <v/>
      </c>
      <c r="R77" t="str">
        <f t="shared" si="20"/>
        <v/>
      </c>
      <c r="S77" t="str">
        <f t="shared" si="28"/>
        <v/>
      </c>
    </row>
    <row r="78" spans="1:19" x14ac:dyDescent="0.25">
      <c r="A78">
        <v>68</v>
      </c>
      <c r="B78" t="str">
        <f>IF(ScoreHelper!C92="","",ScoreHelper!C92)</f>
        <v/>
      </c>
      <c r="C78" t="s">
        <v>1051</v>
      </c>
      <c r="D78" t="str">
        <f t="shared" si="21"/>
        <v/>
      </c>
      <c r="E78" t="str">
        <f>IF(B78="","",IF(COUNTIF($D$11:D78,D78)&gt;1,"DP",D78))</f>
        <v/>
      </c>
      <c r="F78" t="str">
        <f t="shared" si="22"/>
        <v/>
      </c>
      <c r="G78" t="str">
        <f t="shared" si="23"/>
        <v/>
      </c>
      <c r="H78" s="3" t="str">
        <f t="shared" si="19"/>
        <v/>
      </c>
      <c r="I78" t="str">
        <f t="shared" si="24"/>
        <v/>
      </c>
      <c r="J78" t="str">
        <f t="shared" si="24"/>
        <v/>
      </c>
      <c r="K78" t="str">
        <f t="shared" si="24"/>
        <v/>
      </c>
      <c r="L78" t="str">
        <f t="shared" si="24"/>
        <v/>
      </c>
      <c r="M78" t="str">
        <f t="shared" si="24"/>
        <v/>
      </c>
      <c r="N78" t="str">
        <f t="shared" si="25"/>
        <v/>
      </c>
      <c r="O78" s="33" t="str">
        <f t="shared" si="26"/>
        <v/>
      </c>
      <c r="P78" s="47" t="str">
        <f>IF(AND(VALUE(LEFT($B$3,2))=30,IF(O78="","",COUNTIF($O$11:O78,"MEAL"))&gt;2),"",IF(O78="","",COUNTIF($O$11:O78,"MEAL")))</f>
        <v/>
      </c>
      <c r="Q78" t="str">
        <f t="shared" si="27"/>
        <v/>
      </c>
      <c r="R78" t="str">
        <f t="shared" si="20"/>
        <v/>
      </c>
      <c r="S78" t="str">
        <f t="shared" si="28"/>
        <v/>
      </c>
    </row>
    <row r="79" spans="1:19" x14ac:dyDescent="0.25">
      <c r="A79">
        <v>69</v>
      </c>
      <c r="B79" t="str">
        <f>IF(ScoreHelper!C93="","",ScoreHelper!C93)</f>
        <v/>
      </c>
      <c r="C79" t="s">
        <v>1051</v>
      </c>
      <c r="D79" t="str">
        <f t="shared" si="21"/>
        <v/>
      </c>
      <c r="E79" t="str">
        <f>IF(B79="","",IF(COUNTIF($D$11:D79,D79)&gt;1,"DP",D79))</f>
        <v/>
      </c>
      <c r="F79" t="str">
        <f t="shared" si="22"/>
        <v/>
      </c>
      <c r="G79" t="str">
        <f t="shared" si="23"/>
        <v/>
      </c>
      <c r="H79" s="3" t="str">
        <f t="shared" si="19"/>
        <v/>
      </c>
      <c r="I79" t="str">
        <f t="shared" si="24"/>
        <v/>
      </c>
      <c r="J79" t="str">
        <f t="shared" si="24"/>
        <v/>
      </c>
      <c r="K79" t="str">
        <f t="shared" si="24"/>
        <v/>
      </c>
      <c r="L79" t="str">
        <f t="shared" si="24"/>
        <v/>
      </c>
      <c r="M79" t="str">
        <f t="shared" si="24"/>
        <v/>
      </c>
      <c r="N79" t="str">
        <f t="shared" si="25"/>
        <v/>
      </c>
      <c r="O79" s="33" t="str">
        <f t="shared" si="26"/>
        <v/>
      </c>
      <c r="P79" s="47" t="str">
        <f>IF(AND(VALUE(LEFT($B$3,2))=30,IF(O79="","",COUNTIF($O$11:O79,"MEAL"))&gt;2),"",IF(O79="","",COUNTIF($O$11:O79,"MEAL")))</f>
        <v/>
      </c>
      <c r="Q79" t="str">
        <f t="shared" si="27"/>
        <v/>
      </c>
      <c r="R79" t="str">
        <f t="shared" si="20"/>
        <v/>
      </c>
      <c r="S79" t="str">
        <f t="shared" si="28"/>
        <v/>
      </c>
    </row>
    <row r="80" spans="1:19" x14ac:dyDescent="0.25">
      <c r="A80">
        <v>70</v>
      </c>
      <c r="B80" t="str">
        <f>IF(ScoreHelper!C94="","",ScoreHelper!C94)</f>
        <v/>
      </c>
      <c r="C80" t="s">
        <v>1051</v>
      </c>
      <c r="D80" t="str">
        <f t="shared" si="21"/>
        <v/>
      </c>
      <c r="E80" t="str">
        <f>IF(B80="","",IF(COUNTIF($D$11:D80,D80)&gt;1,"DP",D80))</f>
        <v/>
      </c>
      <c r="F80" t="str">
        <f t="shared" si="22"/>
        <v/>
      </c>
      <c r="G80" t="str">
        <f t="shared" si="23"/>
        <v/>
      </c>
      <c r="H80" s="3" t="str">
        <f t="shared" si="19"/>
        <v/>
      </c>
      <c r="I80" t="str">
        <f t="shared" si="24"/>
        <v/>
      </c>
      <c r="J80" t="str">
        <f t="shared" si="24"/>
        <v/>
      </c>
      <c r="K80" t="str">
        <f t="shared" si="24"/>
        <v/>
      </c>
      <c r="L80" t="str">
        <f t="shared" si="24"/>
        <v/>
      </c>
      <c r="M80" t="str">
        <f t="shared" si="24"/>
        <v/>
      </c>
      <c r="N80" t="str">
        <f t="shared" si="25"/>
        <v/>
      </c>
      <c r="O80" s="33" t="str">
        <f t="shared" si="26"/>
        <v/>
      </c>
      <c r="P80" s="47" t="str">
        <f>IF(AND(VALUE(LEFT($B$3,2))=30,IF(O80="","",COUNTIF($O$11:O80,"MEAL"))&gt;2),"",IF(O80="","",COUNTIF($O$11:O80,"MEAL")))</f>
        <v/>
      </c>
      <c r="Q80" t="str">
        <f t="shared" si="27"/>
        <v/>
      </c>
      <c r="R80" t="str">
        <f t="shared" si="20"/>
        <v/>
      </c>
      <c r="S80" t="str">
        <f t="shared" si="28"/>
        <v/>
      </c>
    </row>
    <row r="81" spans="1:19" x14ac:dyDescent="0.25">
      <c r="A81">
        <v>71</v>
      </c>
      <c r="B81" t="str">
        <f>IF(ScoreHelper!C95="","",ScoreHelper!C95)</f>
        <v/>
      </c>
      <c r="C81" t="s">
        <v>1051</v>
      </c>
      <c r="D81" t="str">
        <f t="shared" si="21"/>
        <v/>
      </c>
      <c r="E81" t="str">
        <f>IF(B81="","",IF(COUNTIF($D$11:D81,D81)&gt;1,"DP",D81))</f>
        <v/>
      </c>
      <c r="F81" t="str">
        <f t="shared" si="22"/>
        <v/>
      </c>
      <c r="G81" t="str">
        <f t="shared" si="23"/>
        <v/>
      </c>
      <c r="H81" s="3" t="str">
        <f t="shared" si="19"/>
        <v/>
      </c>
      <c r="I81" t="str">
        <f t="shared" si="24"/>
        <v/>
      </c>
      <c r="J81" t="str">
        <f t="shared" si="24"/>
        <v/>
      </c>
      <c r="K81" t="str">
        <f t="shared" si="24"/>
        <v/>
      </c>
      <c r="L81" t="str">
        <f t="shared" si="24"/>
        <v/>
      </c>
      <c r="M81" t="str">
        <f t="shared" si="24"/>
        <v/>
      </c>
      <c r="N81" t="str">
        <f t="shared" si="25"/>
        <v/>
      </c>
      <c r="O81" s="33" t="str">
        <f t="shared" si="26"/>
        <v/>
      </c>
      <c r="P81" s="47" t="str">
        <f>IF(AND(VALUE(LEFT($B$3,2))=30,IF(O81="","",COUNTIF($O$11:O81,"MEAL"))&gt;2),"",IF(O81="","",COUNTIF($O$11:O81,"MEAL")))</f>
        <v/>
      </c>
      <c r="Q81" t="str">
        <f t="shared" si="27"/>
        <v/>
      </c>
      <c r="R81" t="str">
        <f t="shared" si="20"/>
        <v/>
      </c>
      <c r="S81" t="str">
        <f t="shared" si="28"/>
        <v/>
      </c>
    </row>
    <row r="82" spans="1:19" x14ac:dyDescent="0.25">
      <c r="A82">
        <v>72</v>
      </c>
      <c r="B82" t="str">
        <f>IF(ScoreHelper!C96="","",ScoreHelper!C96)</f>
        <v/>
      </c>
      <c r="C82" t="s">
        <v>1051</v>
      </c>
      <c r="D82" t="str">
        <f t="shared" si="21"/>
        <v/>
      </c>
      <c r="E82" t="str">
        <f>IF(B82="","",IF(COUNTIF($D$11:D82,D82)&gt;1,"DP",D82))</f>
        <v/>
      </c>
      <c r="F82" t="str">
        <f t="shared" si="22"/>
        <v/>
      </c>
      <c r="G82" t="str">
        <f t="shared" si="23"/>
        <v/>
      </c>
      <c r="H82" s="3" t="str">
        <f t="shared" si="19"/>
        <v/>
      </c>
      <c r="I82" t="str">
        <f t="shared" si="24"/>
        <v/>
      </c>
      <c r="J82" t="str">
        <f t="shared" si="24"/>
        <v/>
      </c>
      <c r="K82" t="str">
        <f t="shared" si="24"/>
        <v/>
      </c>
      <c r="L82" t="str">
        <f t="shared" si="24"/>
        <v/>
      </c>
      <c r="M82" t="str">
        <f t="shared" si="24"/>
        <v/>
      </c>
      <c r="N82" t="str">
        <f t="shared" si="25"/>
        <v/>
      </c>
      <c r="O82" s="33" t="str">
        <f t="shared" si="26"/>
        <v/>
      </c>
      <c r="P82" s="47" t="str">
        <f>IF(AND(VALUE(LEFT($B$3,2))=30,IF(O82="","",COUNTIF($O$11:O82,"MEAL"))&gt;2),"",IF(O82="","",COUNTIF($O$11:O82,"MEAL")))</f>
        <v/>
      </c>
      <c r="Q82" t="str">
        <f t="shared" si="27"/>
        <v/>
      </c>
      <c r="R82" t="str">
        <f t="shared" si="20"/>
        <v/>
      </c>
      <c r="S82" t="str">
        <f t="shared" si="28"/>
        <v/>
      </c>
    </row>
    <row r="83" spans="1:19" x14ac:dyDescent="0.25">
      <c r="A83">
        <v>73</v>
      </c>
      <c r="B83" t="str">
        <f>IF(ScoreHelper!C97="","",ScoreHelper!C97)</f>
        <v/>
      </c>
      <c r="C83" t="s">
        <v>1051</v>
      </c>
      <c r="D83" t="str">
        <f t="shared" si="21"/>
        <v/>
      </c>
      <c r="E83" t="str">
        <f>IF(B83="","",IF(COUNTIF($D$11:D83,D83)&gt;1,"DP",D83))</f>
        <v/>
      </c>
      <c r="F83" t="str">
        <f t="shared" si="22"/>
        <v/>
      </c>
      <c r="G83" t="str">
        <f t="shared" si="23"/>
        <v/>
      </c>
      <c r="H83" s="3" t="str">
        <f t="shared" si="19"/>
        <v/>
      </c>
      <c r="I83" t="str">
        <f t="shared" si="24"/>
        <v/>
      </c>
      <c r="J83" t="str">
        <f t="shared" si="24"/>
        <v/>
      </c>
      <c r="K83" t="str">
        <f t="shared" si="24"/>
        <v/>
      </c>
      <c r="L83" t="str">
        <f t="shared" si="24"/>
        <v/>
      </c>
      <c r="M83" t="str">
        <f t="shared" si="24"/>
        <v/>
      </c>
      <c r="N83" t="str">
        <f t="shared" si="25"/>
        <v/>
      </c>
      <c r="O83" s="33" t="str">
        <f t="shared" si="26"/>
        <v/>
      </c>
      <c r="P83" s="47" t="str">
        <f>IF(AND(VALUE(LEFT($B$3,2))=30,IF(O83="","",COUNTIF($O$11:O83,"MEAL"))&gt;2),"",IF(O83="","",COUNTIF($O$11:O83,"MEAL")))</f>
        <v/>
      </c>
      <c r="Q83" t="str">
        <f t="shared" si="27"/>
        <v/>
      </c>
      <c r="R83" t="str">
        <f t="shared" si="20"/>
        <v/>
      </c>
      <c r="S83" t="str">
        <f t="shared" si="28"/>
        <v/>
      </c>
    </row>
    <row r="84" spans="1:19" x14ac:dyDescent="0.25">
      <c r="A84">
        <v>74</v>
      </c>
      <c r="B84" t="str">
        <f>IF(ScoreHelper!C98="","",ScoreHelper!C98)</f>
        <v/>
      </c>
      <c r="C84" t="s">
        <v>1051</v>
      </c>
      <c r="D84" t="str">
        <f t="shared" si="21"/>
        <v/>
      </c>
      <c r="E84" t="str">
        <f>IF(B84="","",IF(COUNTIF($D$11:D84,D84)&gt;1,"DP",D84))</f>
        <v/>
      </c>
      <c r="F84" t="str">
        <f t="shared" si="22"/>
        <v/>
      </c>
      <c r="G84" t="str">
        <f t="shared" si="23"/>
        <v/>
      </c>
      <c r="H84" s="3" t="str">
        <f t="shared" si="19"/>
        <v/>
      </c>
      <c r="I84" t="str">
        <f t="shared" si="24"/>
        <v/>
      </c>
      <c r="J84" t="str">
        <f t="shared" si="24"/>
        <v/>
      </c>
      <c r="K84" t="str">
        <f t="shared" si="24"/>
        <v/>
      </c>
      <c r="L84" t="str">
        <f t="shared" si="24"/>
        <v/>
      </c>
      <c r="M84" t="str">
        <f t="shared" si="24"/>
        <v/>
      </c>
      <c r="N84" t="str">
        <f t="shared" si="25"/>
        <v/>
      </c>
      <c r="O84" s="33" t="str">
        <f t="shared" si="26"/>
        <v/>
      </c>
      <c r="P84" s="47" t="str">
        <f>IF(AND(VALUE(LEFT($B$3,2))=30,IF(O84="","",COUNTIF($O$11:O84,"MEAL"))&gt;2),"",IF(O84="","",COUNTIF($O$11:O84,"MEAL")))</f>
        <v/>
      </c>
      <c r="Q84" t="str">
        <f t="shared" si="27"/>
        <v/>
      </c>
      <c r="R84" t="str">
        <f t="shared" si="20"/>
        <v/>
      </c>
      <c r="S84" t="str">
        <f t="shared" si="28"/>
        <v/>
      </c>
    </row>
    <row r="85" spans="1:19" x14ac:dyDescent="0.25">
      <c r="A85">
        <v>75</v>
      </c>
      <c r="B85" t="str">
        <f>IF(ScoreHelper!C99="","",ScoreHelper!C99)</f>
        <v/>
      </c>
      <c r="C85" t="s">
        <v>1051</v>
      </c>
      <c r="D85" t="str">
        <f t="shared" si="21"/>
        <v/>
      </c>
      <c r="E85" t="str">
        <f>IF(B85="","",IF(COUNTIF($D$11:D85,D85)&gt;1,"DP",D85))</f>
        <v/>
      </c>
      <c r="F85" t="str">
        <f t="shared" si="22"/>
        <v/>
      </c>
      <c r="G85" t="str">
        <f t="shared" si="23"/>
        <v/>
      </c>
      <c r="H85" s="3" t="str">
        <f t="shared" si="19"/>
        <v/>
      </c>
      <c r="I85" t="str">
        <f t="shared" si="24"/>
        <v/>
      </c>
      <c r="J85" t="str">
        <f t="shared" si="24"/>
        <v/>
      </c>
      <c r="K85" t="str">
        <f t="shared" si="24"/>
        <v/>
      </c>
      <c r="L85" t="str">
        <f t="shared" si="24"/>
        <v/>
      </c>
      <c r="M85" t="str">
        <f t="shared" si="24"/>
        <v/>
      </c>
      <c r="N85" t="str">
        <f t="shared" si="25"/>
        <v/>
      </c>
      <c r="O85" s="33" t="str">
        <f t="shared" si="26"/>
        <v/>
      </c>
      <c r="P85" s="47" t="str">
        <f>IF(AND(VALUE(LEFT($B$3,2))=30,IF(O85="","",COUNTIF($O$11:O85,"MEAL"))&gt;2),"",IF(O85="","",COUNTIF($O$11:O85,"MEAL")))</f>
        <v/>
      </c>
      <c r="Q85" t="str">
        <f t="shared" si="27"/>
        <v/>
      </c>
      <c r="R85" t="str">
        <f t="shared" si="20"/>
        <v/>
      </c>
      <c r="S85" t="str">
        <f t="shared" si="28"/>
        <v/>
      </c>
    </row>
    <row r="86" spans="1:19" x14ac:dyDescent="0.25">
      <c r="A86">
        <v>76</v>
      </c>
      <c r="B86" t="str">
        <f>IF(ScoreHelper!C100="","",ScoreHelper!C100)</f>
        <v/>
      </c>
      <c r="C86" t="s">
        <v>1051</v>
      </c>
      <c r="D86" t="str">
        <f t="shared" si="21"/>
        <v/>
      </c>
      <c r="E86" t="str">
        <f>IF(B86="","",IF(COUNTIF($D$11:D86,D86)&gt;1,"DP",D86))</f>
        <v/>
      </c>
      <c r="F86" t="str">
        <f t="shared" si="22"/>
        <v/>
      </c>
      <c r="G86" t="str">
        <f t="shared" si="23"/>
        <v/>
      </c>
      <c r="H86" s="3" t="str">
        <f t="shared" si="19"/>
        <v/>
      </c>
      <c r="I86" t="str">
        <f t="shared" si="24"/>
        <v/>
      </c>
      <c r="J86" t="str">
        <f t="shared" si="24"/>
        <v/>
      </c>
      <c r="K86" t="str">
        <f t="shared" si="24"/>
        <v/>
      </c>
      <c r="L86" t="str">
        <f t="shared" si="24"/>
        <v/>
      </c>
      <c r="M86" t="str">
        <f t="shared" si="24"/>
        <v/>
      </c>
      <c r="N86" t="str">
        <f t="shared" si="25"/>
        <v/>
      </c>
      <c r="O86" s="33" t="str">
        <f t="shared" si="26"/>
        <v/>
      </c>
      <c r="P86" s="47" t="str">
        <f>IF(AND(VALUE(LEFT($B$3,2))=30,IF(O86="","",COUNTIF($O$11:O86,"MEAL"))&gt;2),"",IF(O86="","",COUNTIF($O$11:O86,"MEAL")))</f>
        <v/>
      </c>
      <c r="Q86" t="str">
        <f t="shared" si="27"/>
        <v/>
      </c>
      <c r="R86" t="str">
        <f t="shared" si="20"/>
        <v/>
      </c>
      <c r="S86" t="str">
        <f t="shared" si="28"/>
        <v/>
      </c>
    </row>
    <row r="87" spans="1:19" x14ac:dyDescent="0.25">
      <c r="A87">
        <v>77</v>
      </c>
      <c r="B87" t="str">
        <f>IF(ScoreHelper!C101="","",ScoreHelper!C101)</f>
        <v/>
      </c>
      <c r="C87" t="s">
        <v>1051</v>
      </c>
      <c r="D87" t="str">
        <f t="shared" si="21"/>
        <v/>
      </c>
      <c r="E87" t="str">
        <f>IF(B87="","",IF(COUNTIF($D$11:D87,D87)&gt;1,"DP",D87))</f>
        <v/>
      </c>
      <c r="F87" t="str">
        <f t="shared" si="22"/>
        <v/>
      </c>
      <c r="G87" t="str">
        <f t="shared" si="23"/>
        <v/>
      </c>
      <c r="H87" s="3" t="str">
        <f t="shared" si="19"/>
        <v/>
      </c>
      <c r="I87" t="str">
        <f t="shared" si="24"/>
        <v/>
      </c>
      <c r="J87" t="str">
        <f t="shared" si="24"/>
        <v/>
      </c>
      <c r="K87" t="str">
        <f t="shared" si="24"/>
        <v/>
      </c>
      <c r="L87" t="str">
        <f t="shared" si="24"/>
        <v/>
      </c>
      <c r="M87" t="str">
        <f t="shared" si="24"/>
        <v/>
      </c>
      <c r="N87" t="str">
        <f t="shared" si="25"/>
        <v/>
      </c>
      <c r="O87" s="33" t="str">
        <f t="shared" si="26"/>
        <v/>
      </c>
      <c r="P87" s="47" t="str">
        <f>IF(AND(VALUE(LEFT($B$3,2))=30,IF(O87="","",COUNTIF($O$11:O87,"MEAL"))&gt;2),"",IF(O87="","",COUNTIF($O$11:O87,"MEAL")))</f>
        <v/>
      </c>
      <c r="Q87" t="str">
        <f t="shared" si="27"/>
        <v/>
      </c>
      <c r="R87" t="str">
        <f t="shared" si="20"/>
        <v/>
      </c>
      <c r="S87" t="str">
        <f t="shared" si="28"/>
        <v/>
      </c>
    </row>
    <row r="88" spans="1:19" x14ac:dyDescent="0.25">
      <c r="A88">
        <v>78</v>
      </c>
      <c r="B88" t="str">
        <f>IF(ScoreHelper!C102="","",ScoreHelper!C102)</f>
        <v/>
      </c>
      <c r="C88" t="s">
        <v>1051</v>
      </c>
      <c r="D88" t="str">
        <f t="shared" si="21"/>
        <v/>
      </c>
      <c r="E88" t="str">
        <f>IF(B88="","",IF(COUNTIF($D$11:D88,D88)&gt;1,"DP",D88))</f>
        <v/>
      </c>
      <c r="F88" t="str">
        <f t="shared" si="22"/>
        <v/>
      </c>
      <c r="G88" t="str">
        <f t="shared" si="23"/>
        <v/>
      </c>
      <c r="H88" s="3" t="str">
        <f t="shared" si="19"/>
        <v/>
      </c>
      <c r="I88" t="str">
        <f t="shared" si="24"/>
        <v/>
      </c>
      <c r="J88" t="str">
        <f t="shared" si="24"/>
        <v/>
      </c>
      <c r="K88" t="str">
        <f t="shared" si="24"/>
        <v/>
      </c>
      <c r="L88" t="str">
        <f t="shared" si="24"/>
        <v/>
      </c>
      <c r="M88" t="str">
        <f t="shared" si="24"/>
        <v/>
      </c>
      <c r="N88" t="str">
        <f t="shared" si="25"/>
        <v/>
      </c>
      <c r="O88" s="33" t="str">
        <f t="shared" si="26"/>
        <v/>
      </c>
      <c r="P88" s="47" t="str">
        <f>IF(AND(VALUE(LEFT($B$3,2))=30,IF(O88="","",COUNTIF($O$11:O88,"MEAL"))&gt;2),"",IF(O88="","",COUNTIF($O$11:O88,"MEAL")))</f>
        <v/>
      </c>
      <c r="Q88" t="str">
        <f t="shared" si="27"/>
        <v/>
      </c>
      <c r="R88" t="str">
        <f t="shared" si="20"/>
        <v/>
      </c>
      <c r="S88" t="str">
        <f t="shared" si="28"/>
        <v/>
      </c>
    </row>
    <row r="89" spans="1:19" x14ac:dyDescent="0.25">
      <c r="A89">
        <v>79</v>
      </c>
      <c r="B89" t="str">
        <f>IF(ScoreHelper!C103="","",ScoreHelper!C103)</f>
        <v/>
      </c>
      <c r="C89" t="s">
        <v>1051</v>
      </c>
      <c r="D89" t="str">
        <f t="shared" si="21"/>
        <v/>
      </c>
      <c r="E89" t="str">
        <f>IF(B89="","",IF(COUNTIF($D$11:D89,D89)&gt;1,"DP",D89))</f>
        <v/>
      </c>
      <c r="F89" t="str">
        <f t="shared" si="22"/>
        <v/>
      </c>
      <c r="G89" t="str">
        <f t="shared" si="23"/>
        <v/>
      </c>
      <c r="H89" s="3" t="str">
        <f t="shared" si="19"/>
        <v/>
      </c>
      <c r="I89" t="str">
        <f t="shared" si="24"/>
        <v/>
      </c>
      <c r="J89" t="str">
        <f t="shared" si="24"/>
        <v/>
      </c>
      <c r="K89" t="str">
        <f t="shared" si="24"/>
        <v/>
      </c>
      <c r="L89" t="str">
        <f t="shared" si="24"/>
        <v/>
      </c>
      <c r="M89" t="str">
        <f t="shared" si="24"/>
        <v/>
      </c>
      <c r="N89" t="str">
        <f t="shared" si="25"/>
        <v/>
      </c>
      <c r="O89" s="33" t="str">
        <f t="shared" si="26"/>
        <v/>
      </c>
      <c r="P89" s="47" t="str">
        <f>IF(AND(VALUE(LEFT($B$3,2))=30,IF(O89="","",COUNTIF($O$11:O89,"MEAL"))&gt;2),"",IF(O89="","",COUNTIF($O$11:O89,"MEAL")))</f>
        <v/>
      </c>
      <c r="Q89" t="str">
        <f t="shared" si="27"/>
        <v/>
      </c>
      <c r="R89" t="str">
        <f t="shared" si="20"/>
        <v/>
      </c>
      <c r="S89" t="str">
        <f t="shared" si="28"/>
        <v/>
      </c>
    </row>
    <row r="90" spans="1:19" x14ac:dyDescent="0.25">
      <c r="A90">
        <v>80</v>
      </c>
      <c r="B90" t="str">
        <f>IF(ScoreHelper!C104="","",ScoreHelper!C104)</f>
        <v/>
      </c>
      <c r="C90" t="s">
        <v>1051</v>
      </c>
      <c r="D90" t="str">
        <f t="shared" si="21"/>
        <v/>
      </c>
      <c r="E90" t="str">
        <f>IF(B90="","",IF(COUNTIF($D$11:D90,D90)&gt;1,"DP",D90))</f>
        <v/>
      </c>
      <c r="F90" t="str">
        <f t="shared" si="22"/>
        <v/>
      </c>
      <c r="G90" t="str">
        <f t="shared" si="23"/>
        <v/>
      </c>
      <c r="H90" s="3" t="str">
        <f t="shared" si="19"/>
        <v/>
      </c>
      <c r="I90" t="str">
        <f t="shared" si="24"/>
        <v/>
      </c>
      <c r="J90" t="str">
        <f t="shared" si="24"/>
        <v/>
      </c>
      <c r="K90" t="str">
        <f t="shared" si="24"/>
        <v/>
      </c>
      <c r="L90" t="str">
        <f t="shared" si="24"/>
        <v/>
      </c>
      <c r="M90" t="str">
        <f t="shared" si="24"/>
        <v/>
      </c>
      <c r="N90" t="str">
        <f t="shared" si="25"/>
        <v/>
      </c>
      <c r="O90" s="33" t="str">
        <f t="shared" si="26"/>
        <v/>
      </c>
      <c r="P90" s="47" t="str">
        <f>IF(AND(VALUE(LEFT($B$3,2))=30,IF(O90="","",COUNTIF($O$11:O90,"MEAL"))&gt;2),"",IF(O90="","",COUNTIF($O$11:O90,"MEAL")))</f>
        <v/>
      </c>
      <c r="Q90" t="str">
        <f t="shared" si="27"/>
        <v/>
      </c>
      <c r="R90" t="str">
        <f t="shared" si="20"/>
        <v/>
      </c>
      <c r="S90" t="str">
        <f t="shared" si="28"/>
        <v/>
      </c>
    </row>
    <row r="91" spans="1:19" x14ac:dyDescent="0.25">
      <c r="A91">
        <v>81</v>
      </c>
      <c r="B91" t="str">
        <f>IF(ScoreHelper!C105="","",ScoreHelper!C105)</f>
        <v/>
      </c>
      <c r="C91" t="s">
        <v>1051</v>
      </c>
      <c r="D91" t="str">
        <f t="shared" si="21"/>
        <v/>
      </c>
      <c r="E91" t="str">
        <f>IF(B91="","",IF(COUNTIF($D$11:D91,D91)&gt;1,"DP",D91))</f>
        <v/>
      </c>
      <c r="F91" t="str">
        <f t="shared" si="22"/>
        <v/>
      </c>
      <c r="G91" t="str">
        <f t="shared" si="23"/>
        <v/>
      </c>
      <c r="H91" s="3" t="str">
        <f t="shared" si="19"/>
        <v/>
      </c>
      <c r="I91" t="str">
        <f t="shared" si="24"/>
        <v/>
      </c>
      <c r="J91" t="str">
        <f t="shared" si="24"/>
        <v/>
      </c>
      <c r="K91" t="str">
        <f t="shared" si="24"/>
        <v/>
      </c>
      <c r="L91" t="str">
        <f t="shared" si="24"/>
        <v/>
      </c>
      <c r="M91" t="str">
        <f t="shared" si="24"/>
        <v/>
      </c>
      <c r="N91" t="str">
        <f t="shared" si="25"/>
        <v/>
      </c>
      <c r="O91" s="33" t="str">
        <f t="shared" si="26"/>
        <v/>
      </c>
      <c r="P91" s="47" t="str">
        <f>IF(AND(VALUE(LEFT($B$3,2))=30,IF(O91="","",COUNTIF($O$11:O91,"MEAL"))&gt;2),"",IF(O91="","",COUNTIF($O$11:O91,"MEAL")))</f>
        <v/>
      </c>
      <c r="Q91" t="str">
        <f t="shared" si="27"/>
        <v/>
      </c>
      <c r="R91" t="str">
        <f t="shared" si="20"/>
        <v/>
      </c>
      <c r="S91" t="str">
        <f t="shared" si="28"/>
        <v/>
      </c>
    </row>
    <row r="92" spans="1:19" x14ac:dyDescent="0.25">
      <c r="A92">
        <v>82</v>
      </c>
      <c r="B92" t="str">
        <f>IF(ScoreHelper!C106="","",ScoreHelper!C106)</f>
        <v/>
      </c>
      <c r="C92" t="s">
        <v>1051</v>
      </c>
      <c r="D92" t="str">
        <f t="shared" si="21"/>
        <v/>
      </c>
      <c r="E92" t="str">
        <f>IF(B92="","",IF(COUNTIF($D$11:D92,D92)&gt;1,"DP",D92))</f>
        <v/>
      </c>
      <c r="F92" t="str">
        <f t="shared" si="22"/>
        <v/>
      </c>
      <c r="G92" t="str">
        <f t="shared" si="23"/>
        <v/>
      </c>
      <c r="H92" s="3" t="str">
        <f t="shared" si="19"/>
        <v/>
      </c>
      <c r="I92" t="str">
        <f t="shared" si="24"/>
        <v/>
      </c>
      <c r="J92" t="str">
        <f t="shared" si="24"/>
        <v/>
      </c>
      <c r="K92" t="str">
        <f t="shared" si="24"/>
        <v/>
      </c>
      <c r="L92" t="str">
        <f t="shared" si="24"/>
        <v/>
      </c>
      <c r="M92" t="str">
        <f t="shared" si="24"/>
        <v/>
      </c>
      <c r="N92" t="str">
        <f t="shared" si="25"/>
        <v/>
      </c>
      <c r="O92" s="33" t="str">
        <f t="shared" si="26"/>
        <v/>
      </c>
      <c r="P92" s="47" t="str">
        <f>IF(AND(VALUE(LEFT($B$3,2))=30,IF(O92="","",COUNTIF($O$11:O92,"MEAL"))&gt;2),"",IF(O92="","",COUNTIF($O$11:O92,"MEAL")))</f>
        <v/>
      </c>
      <c r="Q92" t="str">
        <f t="shared" si="27"/>
        <v/>
      </c>
      <c r="R92" t="str">
        <f t="shared" si="20"/>
        <v/>
      </c>
      <c r="S92" t="str">
        <f t="shared" si="28"/>
        <v/>
      </c>
    </row>
    <row r="93" spans="1:19" x14ac:dyDescent="0.25">
      <c r="A93">
        <v>83</v>
      </c>
      <c r="B93" t="str">
        <f>IF(ScoreHelper!C107="","",ScoreHelper!C107)</f>
        <v/>
      </c>
      <c r="C93" t="s">
        <v>1051</v>
      </c>
      <c r="D93" t="str">
        <f t="shared" si="21"/>
        <v/>
      </c>
      <c r="E93" t="str">
        <f>IF(B93="","",IF(COUNTIF($D$11:D93,D93)&gt;1,"DP",D93))</f>
        <v/>
      </c>
      <c r="F93" t="str">
        <f t="shared" si="22"/>
        <v/>
      </c>
      <c r="G93" t="str">
        <f t="shared" si="23"/>
        <v/>
      </c>
      <c r="H93" s="3" t="str">
        <f t="shared" si="19"/>
        <v/>
      </c>
      <c r="I93" t="str">
        <f t="shared" si="24"/>
        <v/>
      </c>
      <c r="J93" t="str">
        <f t="shared" si="24"/>
        <v/>
      </c>
      <c r="K93" t="str">
        <f t="shared" si="24"/>
        <v/>
      </c>
      <c r="L93" t="str">
        <f t="shared" si="24"/>
        <v/>
      </c>
      <c r="M93" t="str">
        <f t="shared" si="24"/>
        <v/>
      </c>
      <c r="N93" t="str">
        <f t="shared" si="25"/>
        <v/>
      </c>
      <c r="O93" s="33" t="str">
        <f t="shared" si="26"/>
        <v/>
      </c>
      <c r="P93" s="47" t="str">
        <f>IF(AND(VALUE(LEFT($B$3,2))=30,IF(O93="","",COUNTIF($O$11:O93,"MEAL"))&gt;2),"",IF(O93="","",COUNTIF($O$11:O93,"MEAL")))</f>
        <v/>
      </c>
      <c r="Q93" t="str">
        <f t="shared" si="27"/>
        <v/>
      </c>
      <c r="R93" t="str">
        <f t="shared" si="20"/>
        <v/>
      </c>
      <c r="S93" t="str">
        <f t="shared" si="28"/>
        <v/>
      </c>
    </row>
    <row r="94" spans="1:19" x14ac:dyDescent="0.25">
      <c r="A94">
        <v>84</v>
      </c>
      <c r="B94" t="str">
        <f>IF(ScoreHelper!C108="","",ScoreHelper!C108)</f>
        <v/>
      </c>
      <c r="C94" t="s">
        <v>1051</v>
      </c>
      <c r="D94" t="str">
        <f t="shared" si="21"/>
        <v/>
      </c>
      <c r="E94" t="str">
        <f>IF(B94="","",IF(COUNTIF($D$11:D94,D94)&gt;1,"DP",D94))</f>
        <v/>
      </c>
      <c r="F94" t="str">
        <f t="shared" si="22"/>
        <v/>
      </c>
      <c r="G94" t="str">
        <f t="shared" si="23"/>
        <v/>
      </c>
      <c r="H94" s="3" t="str">
        <f t="shared" si="19"/>
        <v/>
      </c>
      <c r="I94" t="str">
        <f t="shared" si="24"/>
        <v/>
      </c>
      <c r="J94" t="str">
        <f t="shared" si="24"/>
        <v/>
      </c>
      <c r="K94" t="str">
        <f t="shared" si="24"/>
        <v/>
      </c>
      <c r="L94" t="str">
        <f t="shared" si="24"/>
        <v/>
      </c>
      <c r="M94" t="str">
        <f t="shared" si="24"/>
        <v/>
      </c>
      <c r="N94" t="str">
        <f t="shared" si="25"/>
        <v/>
      </c>
      <c r="O94" s="33" t="str">
        <f t="shared" si="26"/>
        <v/>
      </c>
      <c r="P94" s="47" t="str">
        <f>IF(AND(VALUE(LEFT($B$3,2))=30,IF(O94="","",COUNTIF($O$11:O94,"MEAL"))&gt;2),"",IF(O94="","",COUNTIF($O$11:O94,"MEAL")))</f>
        <v/>
      </c>
      <c r="Q94" t="str">
        <f t="shared" si="27"/>
        <v/>
      </c>
      <c r="R94" t="str">
        <f t="shared" si="20"/>
        <v/>
      </c>
      <c r="S94" t="str">
        <f t="shared" si="28"/>
        <v/>
      </c>
    </row>
    <row r="95" spans="1:19" x14ac:dyDescent="0.25">
      <c r="A95">
        <v>85</v>
      </c>
      <c r="B95" t="str">
        <f>IF(ScoreHelper!C109="","",ScoreHelper!C109)</f>
        <v/>
      </c>
      <c r="C95" t="s">
        <v>1051</v>
      </c>
      <c r="D95" t="str">
        <f t="shared" si="21"/>
        <v/>
      </c>
      <c r="E95" t="str">
        <f>IF(B95="","",IF(COUNTIF($D$11:D95,D95)&gt;1,"DP",D95))</f>
        <v/>
      </c>
      <c r="F95" t="str">
        <f t="shared" si="22"/>
        <v/>
      </c>
      <c r="G95" t="str">
        <f t="shared" si="23"/>
        <v/>
      </c>
      <c r="H95" s="3" t="str">
        <f t="shared" si="19"/>
        <v/>
      </c>
      <c r="I95" t="str">
        <f t="shared" si="24"/>
        <v/>
      </c>
      <c r="J95" t="str">
        <f t="shared" si="24"/>
        <v/>
      </c>
      <c r="K95" t="str">
        <f t="shared" si="24"/>
        <v/>
      </c>
      <c r="L95" t="str">
        <f t="shared" si="24"/>
        <v/>
      </c>
      <c r="M95" t="str">
        <f t="shared" si="24"/>
        <v/>
      </c>
      <c r="N95" t="str">
        <f t="shared" si="25"/>
        <v/>
      </c>
      <c r="O95" s="33" t="str">
        <f t="shared" si="26"/>
        <v/>
      </c>
      <c r="P95" s="47" t="str">
        <f>IF(AND(VALUE(LEFT($B$3,2))=30,IF(O95="","",COUNTIF($O$11:O95,"MEAL"))&gt;2),"",IF(O95="","",COUNTIF($O$11:O95,"MEAL")))</f>
        <v/>
      </c>
      <c r="Q95" t="str">
        <f t="shared" si="27"/>
        <v/>
      </c>
      <c r="R95" t="str">
        <f t="shared" si="20"/>
        <v/>
      </c>
      <c r="S95" t="str">
        <f t="shared" si="28"/>
        <v/>
      </c>
    </row>
    <row r="96" spans="1:19" x14ac:dyDescent="0.25">
      <c r="A96">
        <v>86</v>
      </c>
      <c r="B96" t="str">
        <f>IF(ScoreHelper!C110="","",ScoreHelper!C110)</f>
        <v/>
      </c>
      <c r="C96" t="s">
        <v>1051</v>
      </c>
      <c r="D96" t="str">
        <f t="shared" si="21"/>
        <v/>
      </c>
      <c r="E96" t="str">
        <f>IF(B96="","",IF(COUNTIF($D$11:D96,D96)&gt;1,"DP",D96))</f>
        <v/>
      </c>
      <c r="F96" t="str">
        <f t="shared" si="22"/>
        <v/>
      </c>
      <c r="G96" t="str">
        <f t="shared" si="23"/>
        <v/>
      </c>
      <c r="H96" s="3" t="str">
        <f t="shared" si="19"/>
        <v/>
      </c>
      <c r="I96" t="str">
        <f t="shared" si="24"/>
        <v/>
      </c>
      <c r="J96" t="str">
        <f t="shared" si="24"/>
        <v/>
      </c>
      <c r="K96" t="str">
        <f t="shared" si="24"/>
        <v/>
      </c>
      <c r="L96" t="str">
        <f t="shared" si="24"/>
        <v/>
      </c>
      <c r="M96" t="str">
        <f t="shared" si="24"/>
        <v/>
      </c>
      <c r="N96" t="str">
        <f t="shared" si="25"/>
        <v/>
      </c>
      <c r="O96" s="33" t="str">
        <f t="shared" si="26"/>
        <v/>
      </c>
      <c r="P96" s="47" t="str">
        <f>IF(AND(VALUE(LEFT($B$3,2))=30,IF(O96="","",COUNTIF($O$11:O96,"MEAL"))&gt;2),"",IF(O96="","",COUNTIF($O$11:O96,"MEAL")))</f>
        <v/>
      </c>
      <c r="Q96" t="str">
        <f t="shared" si="27"/>
        <v/>
      </c>
      <c r="R96" t="str">
        <f t="shared" si="20"/>
        <v/>
      </c>
      <c r="S96" t="str">
        <f t="shared" si="28"/>
        <v/>
      </c>
    </row>
    <row r="97" spans="1:19" x14ac:dyDescent="0.25">
      <c r="A97">
        <v>87</v>
      </c>
      <c r="B97" t="str">
        <f>IF(ScoreHelper!C111="","",ScoreHelper!C111)</f>
        <v/>
      </c>
      <c r="C97" t="s">
        <v>1051</v>
      </c>
      <c r="D97" t="str">
        <f t="shared" si="21"/>
        <v/>
      </c>
      <c r="E97" t="str">
        <f>IF(B97="","",IF(COUNTIF($D$11:D97,D97)&gt;1,"DP",D97))</f>
        <v/>
      </c>
      <c r="F97" t="str">
        <f t="shared" si="22"/>
        <v/>
      </c>
      <c r="G97" t="str">
        <f t="shared" si="23"/>
        <v/>
      </c>
      <c r="H97" s="3" t="str">
        <f t="shared" si="19"/>
        <v/>
      </c>
      <c r="I97" t="str">
        <f t="shared" si="24"/>
        <v/>
      </c>
      <c r="J97" t="str">
        <f t="shared" si="24"/>
        <v/>
      </c>
      <c r="K97" t="str">
        <f t="shared" si="24"/>
        <v/>
      </c>
      <c r="L97" t="str">
        <f t="shared" si="24"/>
        <v/>
      </c>
      <c r="M97" t="str">
        <f t="shared" si="24"/>
        <v/>
      </c>
      <c r="N97" t="str">
        <f t="shared" si="25"/>
        <v/>
      </c>
      <c r="O97" s="33" t="str">
        <f t="shared" si="26"/>
        <v/>
      </c>
      <c r="P97" s="47" t="str">
        <f>IF(AND(VALUE(LEFT($B$3,2))=30,IF(O97="","",COUNTIF($O$11:O97,"MEAL"))&gt;2),"",IF(O97="","",COUNTIF($O$11:O97,"MEAL")))</f>
        <v/>
      </c>
      <c r="Q97" t="str">
        <f t="shared" si="27"/>
        <v/>
      </c>
      <c r="R97" t="str">
        <f t="shared" si="20"/>
        <v/>
      </c>
      <c r="S97" t="str">
        <f t="shared" si="28"/>
        <v/>
      </c>
    </row>
    <row r="98" spans="1:19" x14ac:dyDescent="0.25">
      <c r="A98">
        <v>88</v>
      </c>
      <c r="B98" t="str">
        <f>IF(ScoreHelper!C112="","",ScoreHelper!C112)</f>
        <v/>
      </c>
      <c r="C98" t="s">
        <v>1051</v>
      </c>
      <c r="D98" t="str">
        <f t="shared" si="21"/>
        <v/>
      </c>
      <c r="E98" t="str">
        <f>IF(B98="","",IF(COUNTIF($D$11:D98,D98)&gt;1,"DP",D98))</f>
        <v/>
      </c>
      <c r="F98" t="str">
        <f t="shared" si="22"/>
        <v/>
      </c>
      <c r="G98" t="str">
        <f t="shared" si="23"/>
        <v/>
      </c>
      <c r="H98" s="3" t="str">
        <f t="shared" si="19"/>
        <v/>
      </c>
      <c r="I98" t="str">
        <f t="shared" si="24"/>
        <v/>
      </c>
      <c r="J98" t="str">
        <f t="shared" si="24"/>
        <v/>
      </c>
      <c r="K98" t="str">
        <f t="shared" si="24"/>
        <v/>
      </c>
      <c r="L98" t="str">
        <f t="shared" si="24"/>
        <v/>
      </c>
      <c r="M98" t="str">
        <f t="shared" si="24"/>
        <v/>
      </c>
      <c r="N98" t="str">
        <f t="shared" si="25"/>
        <v/>
      </c>
      <c r="O98" s="33" t="str">
        <f t="shared" si="26"/>
        <v/>
      </c>
      <c r="P98" s="47" t="str">
        <f>IF(AND(VALUE(LEFT($B$3,2))=30,IF(O98="","",COUNTIF($O$11:O98,"MEAL"))&gt;2),"",IF(O98="","",COUNTIF($O$11:O98,"MEAL")))</f>
        <v/>
      </c>
      <c r="Q98" t="str">
        <f t="shared" si="27"/>
        <v/>
      </c>
      <c r="R98" t="str">
        <f t="shared" si="20"/>
        <v/>
      </c>
      <c r="S98" t="str">
        <f t="shared" si="28"/>
        <v/>
      </c>
    </row>
    <row r="99" spans="1:19" x14ac:dyDescent="0.25">
      <c r="A99">
        <v>89</v>
      </c>
      <c r="B99" t="str">
        <f>IF(ScoreHelper!C113="","",ScoreHelper!C113)</f>
        <v/>
      </c>
      <c r="C99" t="s">
        <v>1051</v>
      </c>
      <c r="D99" t="str">
        <f t="shared" si="21"/>
        <v/>
      </c>
      <c r="E99" t="str">
        <f>IF(B99="","",IF(COUNTIF($D$11:D99,D99)&gt;1,"DP",D99))</f>
        <v/>
      </c>
      <c r="F99" t="str">
        <f t="shared" si="22"/>
        <v/>
      </c>
      <c r="G99" t="str">
        <f t="shared" si="23"/>
        <v/>
      </c>
      <c r="H99" s="3" t="str">
        <f t="shared" si="19"/>
        <v/>
      </c>
      <c r="I99" t="str">
        <f t="shared" si="24"/>
        <v/>
      </c>
      <c r="J99" t="str">
        <f t="shared" si="24"/>
        <v/>
      </c>
      <c r="K99" t="str">
        <f t="shared" si="24"/>
        <v/>
      </c>
      <c r="L99" t="str">
        <f t="shared" si="24"/>
        <v/>
      </c>
      <c r="M99" t="str">
        <f t="shared" si="24"/>
        <v/>
      </c>
      <c r="N99" t="str">
        <f t="shared" si="25"/>
        <v/>
      </c>
      <c r="O99" s="33" t="str">
        <f t="shared" si="26"/>
        <v/>
      </c>
      <c r="P99" s="47" t="str">
        <f>IF(AND(VALUE(LEFT($B$3,2))=30,IF(O99="","",COUNTIF($O$11:O99,"MEAL"))&gt;2),"",IF(O99="","",COUNTIF($O$11:O99,"MEAL")))</f>
        <v/>
      </c>
      <c r="Q99" t="str">
        <f t="shared" si="27"/>
        <v/>
      </c>
      <c r="R99" t="str">
        <f t="shared" si="20"/>
        <v/>
      </c>
      <c r="S99" t="str">
        <f t="shared" si="28"/>
        <v/>
      </c>
    </row>
    <row r="100" spans="1:19" x14ac:dyDescent="0.25">
      <c r="A100">
        <v>90</v>
      </c>
      <c r="B100" t="str">
        <f>IF(ScoreHelper!C114="","",ScoreHelper!C114)</f>
        <v/>
      </c>
      <c r="C100" t="s">
        <v>1051</v>
      </c>
      <c r="D100" t="str">
        <f t="shared" si="21"/>
        <v/>
      </c>
      <c r="E100" t="str">
        <f>IF(B100="","",IF(COUNTIF($D$11:D100,D100)&gt;1,"DP",D100))</f>
        <v/>
      </c>
      <c r="F100" t="str">
        <f t="shared" si="22"/>
        <v/>
      </c>
      <c r="G100" t="str">
        <f t="shared" si="23"/>
        <v/>
      </c>
      <c r="H100" s="3" t="str">
        <f t="shared" si="19"/>
        <v/>
      </c>
      <c r="I100" t="str">
        <f t="shared" si="24"/>
        <v/>
      </c>
      <c r="J100" t="str">
        <f t="shared" si="24"/>
        <v/>
      </c>
      <c r="K100" t="str">
        <f t="shared" si="24"/>
        <v/>
      </c>
      <c r="L100" t="str">
        <f t="shared" si="24"/>
        <v/>
      </c>
      <c r="M100" t="str">
        <f t="shared" si="24"/>
        <v/>
      </c>
      <c r="N100" t="str">
        <f t="shared" si="25"/>
        <v/>
      </c>
      <c r="O100" s="33" t="str">
        <f t="shared" si="26"/>
        <v/>
      </c>
      <c r="P100" s="47" t="str">
        <f>IF(AND(VALUE(LEFT($B$3,2))=30,IF(O100="","",COUNTIF($O$11:O100,"MEAL"))&gt;2),"",IF(O100="","",COUNTIF($O$11:O100,"MEAL")))</f>
        <v/>
      </c>
      <c r="Q100" t="str">
        <f t="shared" si="27"/>
        <v/>
      </c>
      <c r="R100" t="str">
        <f t="shared" si="20"/>
        <v/>
      </c>
      <c r="S100" t="str">
        <f t="shared" si="28"/>
        <v/>
      </c>
    </row>
    <row r="101" spans="1:19" x14ac:dyDescent="0.25">
      <c r="A101">
        <v>91</v>
      </c>
      <c r="B101" t="str">
        <f>IF(ScoreHelper!C115="","",ScoreHelper!C115)</f>
        <v/>
      </c>
      <c r="C101" t="s">
        <v>1051</v>
      </c>
      <c r="D101" t="str">
        <f t="shared" si="21"/>
        <v/>
      </c>
      <c r="E101" t="str">
        <f>IF(B101="","",IF(COUNTIF($D$11:D101,D101)&gt;1,"DP",D101))</f>
        <v/>
      </c>
      <c r="F101" t="str">
        <f t="shared" si="22"/>
        <v/>
      </c>
      <c r="G101" t="str">
        <f t="shared" si="23"/>
        <v/>
      </c>
      <c r="H101" s="3" t="str">
        <f t="shared" si="19"/>
        <v/>
      </c>
      <c r="I101" t="str">
        <f t="shared" si="24"/>
        <v/>
      </c>
      <c r="J101" t="str">
        <f t="shared" si="24"/>
        <v/>
      </c>
      <c r="K101" t="str">
        <f t="shared" si="24"/>
        <v/>
      </c>
      <c r="L101" t="str">
        <f t="shared" si="24"/>
        <v/>
      </c>
      <c r="M101" t="str">
        <f t="shared" si="24"/>
        <v/>
      </c>
      <c r="N101" t="str">
        <f t="shared" si="25"/>
        <v/>
      </c>
      <c r="O101" s="33" t="str">
        <f t="shared" si="26"/>
        <v/>
      </c>
      <c r="P101" s="47" t="str">
        <f>IF(AND(VALUE(LEFT($B$3,2))=30,IF(O101="","",COUNTIF($O$11:O101,"MEAL"))&gt;2),"",IF(O101="","",COUNTIF($O$11:O101,"MEAL")))</f>
        <v/>
      </c>
      <c r="Q101" t="str">
        <f t="shared" si="27"/>
        <v/>
      </c>
      <c r="R101" t="str">
        <f t="shared" si="20"/>
        <v/>
      </c>
      <c r="S101" t="str">
        <f t="shared" si="28"/>
        <v/>
      </c>
    </row>
    <row r="102" spans="1:19" x14ac:dyDescent="0.25">
      <c r="A102">
        <v>92</v>
      </c>
      <c r="B102" t="str">
        <f>IF(ScoreHelper!C116="","",ScoreHelper!C116)</f>
        <v/>
      </c>
      <c r="C102" t="s">
        <v>1051</v>
      </c>
      <c r="D102" t="str">
        <f t="shared" si="21"/>
        <v/>
      </c>
      <c r="E102" t="str">
        <f>IF(B102="","",IF(COUNTIF($D$11:D102,D102)&gt;1,"DP",D102))</f>
        <v/>
      </c>
      <c r="F102" t="str">
        <f t="shared" si="22"/>
        <v/>
      </c>
      <c r="G102" t="str">
        <f t="shared" si="23"/>
        <v/>
      </c>
      <c r="H102" s="3" t="str">
        <f t="shared" si="19"/>
        <v/>
      </c>
      <c r="I102" t="str">
        <f t="shared" si="24"/>
        <v/>
      </c>
      <c r="J102" t="str">
        <f t="shared" si="24"/>
        <v/>
      </c>
      <c r="K102" t="str">
        <f t="shared" si="24"/>
        <v/>
      </c>
      <c r="L102" t="str">
        <f t="shared" si="24"/>
        <v/>
      </c>
      <c r="M102" t="str">
        <f t="shared" si="24"/>
        <v/>
      </c>
      <c r="N102" t="str">
        <f t="shared" si="25"/>
        <v/>
      </c>
      <c r="O102" s="33" t="str">
        <f t="shared" si="26"/>
        <v/>
      </c>
      <c r="P102" s="47" t="str">
        <f>IF(AND(VALUE(LEFT($B$3,2))=30,IF(O102="","",COUNTIF($O$11:O102,"MEAL"))&gt;2),"",IF(O102="","",COUNTIF($O$11:O102,"MEAL")))</f>
        <v/>
      </c>
      <c r="Q102" t="str">
        <f t="shared" si="27"/>
        <v/>
      </c>
      <c r="R102" t="str">
        <f t="shared" si="20"/>
        <v/>
      </c>
      <c r="S102" t="str">
        <f t="shared" si="28"/>
        <v/>
      </c>
    </row>
    <row r="103" spans="1:19" x14ac:dyDescent="0.25">
      <c r="A103">
        <v>93</v>
      </c>
      <c r="B103" t="str">
        <f>IF(ScoreHelper!C117="","",ScoreHelper!C117)</f>
        <v/>
      </c>
      <c r="C103" t="s">
        <v>1051</v>
      </c>
      <c r="D103" t="str">
        <f t="shared" si="21"/>
        <v/>
      </c>
      <c r="E103" t="str">
        <f>IF(B103="","",IF(COUNTIF($D$11:D103,D103)&gt;1,"DP",D103))</f>
        <v/>
      </c>
      <c r="F103" t="str">
        <f t="shared" si="22"/>
        <v/>
      </c>
      <c r="G103" t="str">
        <f t="shared" si="23"/>
        <v/>
      </c>
      <c r="H103" s="3" t="str">
        <f t="shared" si="19"/>
        <v/>
      </c>
      <c r="I103" t="str">
        <f t="shared" si="24"/>
        <v/>
      </c>
      <c r="J103" t="str">
        <f t="shared" si="24"/>
        <v/>
      </c>
      <c r="K103" t="str">
        <f t="shared" si="24"/>
        <v/>
      </c>
      <c r="L103" t="str">
        <f t="shared" si="24"/>
        <v/>
      </c>
      <c r="M103" t="str">
        <f t="shared" si="24"/>
        <v/>
      </c>
      <c r="N103" t="str">
        <f t="shared" si="25"/>
        <v/>
      </c>
      <c r="O103" s="33" t="str">
        <f t="shared" si="26"/>
        <v/>
      </c>
      <c r="P103" s="47" t="str">
        <f>IF(AND(VALUE(LEFT($B$3,2))=30,IF(O103="","",COUNTIF($O$11:O103,"MEAL"))&gt;2),"",IF(O103="","",COUNTIF($O$11:O103,"MEAL")))</f>
        <v/>
      </c>
      <c r="Q103" t="str">
        <f t="shared" si="27"/>
        <v/>
      </c>
      <c r="R103" t="str">
        <f t="shared" si="20"/>
        <v/>
      </c>
      <c r="S103" t="str">
        <f t="shared" si="28"/>
        <v/>
      </c>
    </row>
    <row r="104" spans="1:19" x14ac:dyDescent="0.25">
      <c r="A104">
        <v>94</v>
      </c>
      <c r="B104" t="str">
        <f>IF(ScoreHelper!C118="","",ScoreHelper!C118)</f>
        <v/>
      </c>
      <c r="C104" t="s">
        <v>1051</v>
      </c>
      <c r="D104" t="str">
        <f t="shared" si="21"/>
        <v/>
      </c>
      <c r="E104" t="str">
        <f>IF(B104="","",IF(COUNTIF($D$11:D104,D104)&gt;1,"DP",D104))</f>
        <v/>
      </c>
      <c r="F104" t="str">
        <f t="shared" si="22"/>
        <v/>
      </c>
      <c r="G104" t="str">
        <f t="shared" si="23"/>
        <v/>
      </c>
      <c r="H104" s="3" t="str">
        <f t="shared" si="19"/>
        <v/>
      </c>
      <c r="I104" t="str">
        <f t="shared" si="24"/>
        <v/>
      </c>
      <c r="J104" t="str">
        <f t="shared" si="24"/>
        <v/>
      </c>
      <c r="K104" t="str">
        <f t="shared" si="24"/>
        <v/>
      </c>
      <c r="L104" t="str">
        <f t="shared" si="24"/>
        <v/>
      </c>
      <c r="M104" t="str">
        <f t="shared" si="24"/>
        <v/>
      </c>
      <c r="N104" t="str">
        <f t="shared" si="25"/>
        <v/>
      </c>
      <c r="O104" s="33" t="str">
        <f t="shared" si="26"/>
        <v/>
      </c>
      <c r="P104" s="47" t="str">
        <f>IF(AND(VALUE(LEFT($B$3,2))=30,IF(O104="","",COUNTIF($O$11:O104,"MEAL"))&gt;2),"",IF(O104="","",COUNTIF($O$11:O104,"MEAL")))</f>
        <v/>
      </c>
      <c r="Q104" t="str">
        <f t="shared" si="27"/>
        <v/>
      </c>
      <c r="R104" t="str">
        <f t="shared" si="20"/>
        <v/>
      </c>
      <c r="S104" t="str">
        <f t="shared" si="28"/>
        <v/>
      </c>
    </row>
    <row r="105" spans="1:19" x14ac:dyDescent="0.25">
      <c r="A105">
        <v>95</v>
      </c>
      <c r="B105" t="str">
        <f>IF(ScoreHelper!C119="","",ScoreHelper!C119)</f>
        <v/>
      </c>
      <c r="C105" t="s">
        <v>1051</v>
      </c>
      <c r="D105" t="str">
        <f t="shared" si="21"/>
        <v/>
      </c>
      <c r="E105" t="str">
        <f>IF(B105="","",IF(COUNTIF($D$11:D105,D105)&gt;1,"DP",D105))</f>
        <v/>
      </c>
      <c r="F105" t="str">
        <f t="shared" si="22"/>
        <v/>
      </c>
      <c r="G105" t="str">
        <f t="shared" si="23"/>
        <v/>
      </c>
      <c r="H105" s="3" t="str">
        <f t="shared" si="19"/>
        <v/>
      </c>
      <c r="I105" t="str">
        <f t="shared" si="24"/>
        <v/>
      </c>
      <c r="J105" t="str">
        <f t="shared" si="24"/>
        <v/>
      </c>
      <c r="K105" t="str">
        <f t="shared" si="24"/>
        <v/>
      </c>
      <c r="L105" t="str">
        <f t="shared" si="24"/>
        <v/>
      </c>
      <c r="M105" t="str">
        <f t="shared" si="24"/>
        <v/>
      </c>
      <c r="N105" t="str">
        <f t="shared" si="25"/>
        <v/>
      </c>
      <c r="O105" s="33" t="str">
        <f t="shared" si="26"/>
        <v/>
      </c>
      <c r="P105" s="47" t="str">
        <f>IF(AND(VALUE(LEFT($B$3,2))=30,IF(O105="","",COUNTIF($O$11:O105,"MEAL"))&gt;2),"",IF(O105="","",COUNTIF($O$11:O105,"MEAL")))</f>
        <v/>
      </c>
      <c r="Q105" t="str">
        <f t="shared" si="27"/>
        <v/>
      </c>
      <c r="R105" t="str">
        <f t="shared" si="20"/>
        <v/>
      </c>
      <c r="S105" t="str">
        <f t="shared" si="28"/>
        <v/>
      </c>
    </row>
    <row r="106" spans="1:19" x14ac:dyDescent="0.25">
      <c r="A106">
        <v>96</v>
      </c>
      <c r="B106" t="str">
        <f>IF(ScoreHelper!C120="","",ScoreHelper!C120)</f>
        <v/>
      </c>
      <c r="C106" t="s">
        <v>1051</v>
      </c>
      <c r="D106" t="str">
        <f t="shared" si="21"/>
        <v/>
      </c>
      <c r="E106" t="str">
        <f>IF(B106="","",IF(COUNTIF($D$11:D106,D106)&gt;1,"DP",D106))</f>
        <v/>
      </c>
      <c r="F106" t="str">
        <f t="shared" si="22"/>
        <v/>
      </c>
      <c r="G106" t="str">
        <f t="shared" si="23"/>
        <v/>
      </c>
      <c r="H106" s="3" t="str">
        <f t="shared" si="19"/>
        <v/>
      </c>
      <c r="I106" t="str">
        <f t="shared" si="24"/>
        <v/>
      </c>
      <c r="J106" t="str">
        <f t="shared" si="24"/>
        <v/>
      </c>
      <c r="K106" t="str">
        <f t="shared" si="24"/>
        <v/>
      </c>
      <c r="L106" t="str">
        <f t="shared" si="24"/>
        <v/>
      </c>
      <c r="M106" t="str">
        <f t="shared" si="24"/>
        <v/>
      </c>
      <c r="N106" t="str">
        <f t="shared" si="25"/>
        <v/>
      </c>
      <c r="O106" s="33" t="str">
        <f t="shared" si="26"/>
        <v/>
      </c>
      <c r="P106" s="47" t="str">
        <f>IF(AND(VALUE(LEFT($B$3,2))=30,IF(O106="","",COUNTIF($O$11:O106,"MEAL"))&gt;2),"",IF(O106="","",COUNTIF($O$11:O106,"MEAL")))</f>
        <v/>
      </c>
      <c r="Q106" t="str">
        <f t="shared" si="27"/>
        <v/>
      </c>
      <c r="R106" t="str">
        <f t="shared" si="20"/>
        <v/>
      </c>
      <c r="S106" t="str">
        <f t="shared" si="28"/>
        <v/>
      </c>
    </row>
    <row r="107" spans="1:19" x14ac:dyDescent="0.25">
      <c r="A107">
        <v>97</v>
      </c>
      <c r="B107" t="str">
        <f>IF(ScoreHelper!C121="","",ScoreHelper!C121)</f>
        <v/>
      </c>
      <c r="C107" t="s">
        <v>1051</v>
      </c>
      <c r="D107" t="str">
        <f t="shared" si="21"/>
        <v/>
      </c>
      <c r="E107" t="str">
        <f>IF(B107="","",IF(COUNTIF($D$11:D107,D107)&gt;1,"DP",D107))</f>
        <v/>
      </c>
      <c r="F107" t="str">
        <f t="shared" si="22"/>
        <v/>
      </c>
      <c r="G107" t="str">
        <f t="shared" si="23"/>
        <v/>
      </c>
      <c r="H107" s="3" t="str">
        <f t="shared" si="19"/>
        <v/>
      </c>
      <c r="I107" t="str">
        <f t="shared" si="24"/>
        <v/>
      </c>
      <c r="J107" t="str">
        <f t="shared" si="24"/>
        <v/>
      </c>
      <c r="K107" t="str">
        <f t="shared" si="24"/>
        <v/>
      </c>
      <c r="L107" t="str">
        <f t="shared" si="24"/>
        <v/>
      </c>
      <c r="M107" t="str">
        <f t="shared" si="24"/>
        <v/>
      </c>
      <c r="N107" t="str">
        <f t="shared" si="25"/>
        <v/>
      </c>
      <c r="O107" s="33" t="str">
        <f t="shared" si="26"/>
        <v/>
      </c>
      <c r="P107" s="47" t="str">
        <f>IF(AND(VALUE(LEFT($B$3,2))=30,IF(O107="","",COUNTIF($O$11:O107,"MEAL"))&gt;2),"",IF(O107="","",COUNTIF($O$11:O107,"MEAL")))</f>
        <v/>
      </c>
      <c r="Q107" t="str">
        <f t="shared" si="27"/>
        <v/>
      </c>
      <c r="R107" t="str">
        <f t="shared" si="20"/>
        <v/>
      </c>
      <c r="S107" t="str">
        <f t="shared" si="28"/>
        <v/>
      </c>
    </row>
    <row r="108" spans="1:19" x14ac:dyDescent="0.25">
      <c r="A108">
        <v>98</v>
      </c>
      <c r="B108" t="str">
        <f>IF(ScoreHelper!C122="","",ScoreHelper!C122)</f>
        <v/>
      </c>
      <c r="C108" t="s">
        <v>1051</v>
      </c>
      <c r="D108" t="str">
        <f t="shared" si="21"/>
        <v/>
      </c>
      <c r="E108" t="str">
        <f>IF(B108="","",IF(COUNTIF($D$11:D108,D108)&gt;1,"DP",D108))</f>
        <v/>
      </c>
      <c r="F108" t="str">
        <f t="shared" si="22"/>
        <v/>
      </c>
      <c r="G108" t="str">
        <f t="shared" si="23"/>
        <v/>
      </c>
      <c r="H108" s="3" t="str">
        <f t="shared" si="19"/>
        <v/>
      </c>
      <c r="I108" t="str">
        <f t="shared" ref="I108:M125" si="29">IF($F108="","",IF($H108=I$10,$G108,""))</f>
        <v/>
      </c>
      <c r="J108" t="str">
        <f t="shared" si="29"/>
        <v/>
      </c>
      <c r="K108" t="str">
        <f t="shared" si="29"/>
        <v/>
      </c>
      <c r="L108" t="str">
        <f t="shared" si="29"/>
        <v/>
      </c>
      <c r="M108" t="str">
        <f t="shared" si="29"/>
        <v/>
      </c>
      <c r="N108" t="str">
        <f t="shared" si="25"/>
        <v/>
      </c>
      <c r="O108" s="33" t="str">
        <f t="shared" si="26"/>
        <v/>
      </c>
      <c r="P108" s="47" t="str">
        <f>IF(AND(VALUE(LEFT($B$3,2))=30,IF(O108="","",COUNTIF($O$11:O108,"MEAL"))&gt;2),"",IF(O108="","",COUNTIF($O$11:O108,"MEAL")))</f>
        <v/>
      </c>
      <c r="Q108" t="str">
        <f t="shared" si="27"/>
        <v/>
      </c>
      <c r="R108" t="str">
        <f t="shared" si="20"/>
        <v/>
      </c>
      <c r="S108" t="str">
        <f t="shared" si="28"/>
        <v/>
      </c>
    </row>
    <row r="109" spans="1:19" x14ac:dyDescent="0.25">
      <c r="A109">
        <v>99</v>
      </c>
      <c r="B109" t="str">
        <f>IF(ScoreHelper!C123="","",ScoreHelper!C123)</f>
        <v/>
      </c>
      <c r="C109" t="s">
        <v>1051</v>
      </c>
      <c r="D109" t="str">
        <f t="shared" si="21"/>
        <v/>
      </c>
      <c r="E109" t="str">
        <f>IF(B109="","",IF(COUNTIF($D$11:D109,D109)&gt;1,"DP",D109))</f>
        <v/>
      </c>
      <c r="F109" t="str">
        <f t="shared" si="22"/>
        <v/>
      </c>
      <c r="G109" t="str">
        <f t="shared" si="23"/>
        <v/>
      </c>
      <c r="H109" s="3" t="str">
        <f t="shared" si="19"/>
        <v/>
      </c>
      <c r="I109" t="str">
        <f t="shared" si="29"/>
        <v/>
      </c>
      <c r="J109" t="str">
        <f t="shared" si="29"/>
        <v/>
      </c>
      <c r="K109" t="str">
        <f t="shared" si="29"/>
        <v/>
      </c>
      <c r="L109" t="str">
        <f t="shared" si="29"/>
        <v/>
      </c>
      <c r="M109" t="str">
        <f t="shared" si="29"/>
        <v/>
      </c>
      <c r="N109" t="str">
        <f t="shared" si="25"/>
        <v/>
      </c>
      <c r="O109" s="33" t="str">
        <f t="shared" si="26"/>
        <v/>
      </c>
      <c r="P109" s="47" t="str">
        <f>IF(AND(VALUE(LEFT($B$3,2))=30,IF(O109="","",COUNTIF($O$11:O109,"MEAL"))&gt;2),"",IF(O109="","",COUNTIF($O$11:O109,"MEAL")))</f>
        <v/>
      </c>
      <c r="Q109" t="str">
        <f t="shared" si="27"/>
        <v/>
      </c>
      <c r="R109" t="str">
        <f t="shared" si="20"/>
        <v/>
      </c>
      <c r="S109" t="str">
        <f t="shared" si="28"/>
        <v/>
      </c>
    </row>
    <row r="110" spans="1:19" x14ac:dyDescent="0.25">
      <c r="A110">
        <v>100</v>
      </c>
      <c r="B110" t="str">
        <f>IF(ScoreHelper!C124="","",ScoreHelper!C124)</f>
        <v/>
      </c>
      <c r="C110" t="s">
        <v>1051</v>
      </c>
      <c r="D110" t="str">
        <f t="shared" si="21"/>
        <v/>
      </c>
      <c r="E110" t="str">
        <f>IF(B110="","",IF(COUNTIF($D$11:D110,D110)&gt;1,"DP",D110))</f>
        <v/>
      </c>
      <c r="F110" t="str">
        <f t="shared" si="22"/>
        <v/>
      </c>
      <c r="G110" t="str">
        <f t="shared" si="23"/>
        <v/>
      </c>
      <c r="H110" s="3" t="str">
        <f t="shared" si="19"/>
        <v/>
      </c>
      <c r="I110" t="str">
        <f t="shared" si="29"/>
        <v/>
      </c>
      <c r="J110" t="str">
        <f t="shared" si="29"/>
        <v/>
      </c>
      <c r="K110" t="str">
        <f t="shared" si="29"/>
        <v/>
      </c>
      <c r="L110" t="str">
        <f t="shared" si="29"/>
        <v/>
      </c>
      <c r="M110" t="str">
        <f t="shared" si="29"/>
        <v/>
      </c>
      <c r="N110" t="str">
        <f t="shared" si="25"/>
        <v/>
      </c>
      <c r="O110" s="33" t="str">
        <f t="shared" si="26"/>
        <v/>
      </c>
      <c r="P110" s="47" t="str">
        <f>IF(AND(VALUE(LEFT($B$3,2))=30,IF(O110="","",COUNTIF($O$11:O110,"MEAL"))&gt;2),"",IF(O110="","",COUNTIF($O$11:O110,"MEAL")))</f>
        <v/>
      </c>
      <c r="Q110" t="str">
        <f t="shared" si="27"/>
        <v/>
      </c>
      <c r="R110" t="str">
        <f t="shared" si="20"/>
        <v/>
      </c>
      <c r="S110" t="str">
        <f t="shared" si="28"/>
        <v/>
      </c>
    </row>
    <row r="111" spans="1:19" x14ac:dyDescent="0.25">
      <c r="A111">
        <v>101</v>
      </c>
      <c r="B111" t="str">
        <f>IF(ScoreHelper!C125="","",ScoreHelper!C125)</f>
        <v/>
      </c>
      <c r="C111" t="s">
        <v>1051</v>
      </c>
      <c r="D111" t="str">
        <f t="shared" si="21"/>
        <v/>
      </c>
      <c r="E111" t="str">
        <f>IF(B111="","",IF(COUNTIF($D$11:D111,D111)&gt;1,"DP",D111))</f>
        <v/>
      </c>
      <c r="F111" t="str">
        <f t="shared" si="22"/>
        <v/>
      </c>
      <c r="G111" t="str">
        <f t="shared" si="23"/>
        <v/>
      </c>
      <c r="H111" s="3" t="str">
        <f t="shared" si="19"/>
        <v/>
      </c>
      <c r="I111" t="str">
        <f t="shared" si="29"/>
        <v/>
      </c>
      <c r="J111" t="str">
        <f t="shared" si="29"/>
        <v/>
      </c>
      <c r="K111" t="str">
        <f t="shared" si="29"/>
        <v/>
      </c>
      <c r="L111" t="str">
        <f t="shared" si="29"/>
        <v/>
      </c>
      <c r="M111" t="str">
        <f t="shared" si="29"/>
        <v/>
      </c>
      <c r="N111" t="str">
        <f t="shared" si="25"/>
        <v/>
      </c>
      <c r="O111" s="33" t="str">
        <f t="shared" si="26"/>
        <v/>
      </c>
      <c r="P111" s="47" t="str">
        <f>IF(AND(VALUE(LEFT($B$3,2))=30,IF(O111="","",COUNTIF($O$11:O111,"MEAL"))&gt;2),"",IF(O111="","",COUNTIF($O$11:O111,"MEAL")))</f>
        <v/>
      </c>
      <c r="Q111" t="str">
        <f t="shared" si="27"/>
        <v/>
      </c>
      <c r="R111" t="str">
        <f t="shared" si="20"/>
        <v/>
      </c>
      <c r="S111" t="str">
        <f t="shared" si="28"/>
        <v/>
      </c>
    </row>
    <row r="112" spans="1:19" x14ac:dyDescent="0.25">
      <c r="A112">
        <v>102</v>
      </c>
      <c r="B112" t="str">
        <f>IF(ScoreHelper!C126="","",ScoreHelper!C126)</f>
        <v/>
      </c>
      <c r="C112" t="s">
        <v>1051</v>
      </c>
      <c r="D112" t="str">
        <f t="shared" si="21"/>
        <v/>
      </c>
      <c r="E112" t="str">
        <f>IF(B112="","",IF(COUNTIF($D$11:D112,D112)&gt;1,"DP",D112))</f>
        <v/>
      </c>
      <c r="F112" t="str">
        <f t="shared" si="22"/>
        <v/>
      </c>
      <c r="G112" t="str">
        <f t="shared" si="23"/>
        <v/>
      </c>
      <c r="H112" s="3" t="str">
        <f t="shared" si="19"/>
        <v/>
      </c>
      <c r="I112" t="str">
        <f t="shared" si="29"/>
        <v/>
      </c>
      <c r="J112" t="str">
        <f t="shared" si="29"/>
        <v/>
      </c>
      <c r="K112" t="str">
        <f t="shared" si="29"/>
        <v/>
      </c>
      <c r="L112" t="str">
        <f t="shared" si="29"/>
        <v/>
      </c>
      <c r="M112" t="str">
        <f t="shared" si="29"/>
        <v/>
      </c>
      <c r="N112" t="str">
        <f t="shared" si="25"/>
        <v/>
      </c>
      <c r="O112" s="33" t="str">
        <f t="shared" si="26"/>
        <v/>
      </c>
      <c r="P112" s="47" t="str">
        <f>IF(AND(VALUE(LEFT($B$3,2))=30,IF(O112="","",COUNTIF($O$11:O112,"MEAL"))&gt;2),"",IF(O112="","",COUNTIF($O$11:O112,"MEAL")))</f>
        <v/>
      </c>
      <c r="Q112" t="str">
        <f t="shared" si="27"/>
        <v/>
      </c>
      <c r="R112" t="str">
        <f t="shared" si="20"/>
        <v/>
      </c>
      <c r="S112" t="str">
        <f t="shared" si="28"/>
        <v/>
      </c>
    </row>
    <row r="113" spans="1:19" x14ac:dyDescent="0.25">
      <c r="A113">
        <v>103</v>
      </c>
      <c r="B113" t="str">
        <f>IF(ScoreHelper!C127="","",ScoreHelper!C127)</f>
        <v/>
      </c>
      <c r="C113" t="s">
        <v>1051</v>
      </c>
      <c r="D113" t="str">
        <f t="shared" si="21"/>
        <v/>
      </c>
      <c r="E113" t="str">
        <f>IF(B113="","",IF(COUNTIF($D$11:D113,D113)&gt;1,"DP",D113))</f>
        <v/>
      </c>
      <c r="F113" t="str">
        <f t="shared" si="22"/>
        <v/>
      </c>
      <c r="G113" t="str">
        <f t="shared" si="23"/>
        <v/>
      </c>
      <c r="H113" s="3" t="str">
        <f t="shared" si="19"/>
        <v/>
      </c>
      <c r="I113" t="str">
        <f t="shared" si="29"/>
        <v/>
      </c>
      <c r="J113" t="str">
        <f t="shared" si="29"/>
        <v/>
      </c>
      <c r="K113" t="str">
        <f t="shared" si="29"/>
        <v/>
      </c>
      <c r="L113" t="str">
        <f t="shared" si="29"/>
        <v/>
      </c>
      <c r="M113" t="str">
        <f t="shared" si="29"/>
        <v/>
      </c>
      <c r="N113" t="str">
        <f t="shared" si="25"/>
        <v/>
      </c>
      <c r="O113" s="33" t="str">
        <f t="shared" si="26"/>
        <v/>
      </c>
      <c r="P113" s="47" t="str">
        <f>IF(AND(VALUE(LEFT($B$3,2))=30,IF(O113="","",COUNTIF($O$11:O113,"MEAL"))&gt;2),"",IF(O113="","",COUNTIF($O$11:O113,"MEAL")))</f>
        <v/>
      </c>
      <c r="Q113" t="str">
        <f t="shared" si="27"/>
        <v/>
      </c>
      <c r="R113" t="str">
        <f t="shared" si="20"/>
        <v/>
      </c>
      <c r="S113" t="str">
        <f t="shared" si="28"/>
        <v/>
      </c>
    </row>
    <row r="114" spans="1:19" x14ac:dyDescent="0.25">
      <c r="A114">
        <v>104</v>
      </c>
      <c r="B114" t="str">
        <f>IF(ScoreHelper!C128="","",ScoreHelper!C128)</f>
        <v/>
      </c>
      <c r="C114" t="s">
        <v>1051</v>
      </c>
      <c r="D114" t="str">
        <f t="shared" si="21"/>
        <v/>
      </c>
      <c r="E114" t="str">
        <f>IF(B114="","",IF(COUNTIF($D$11:D114,D114)&gt;1,"DP",D114))</f>
        <v/>
      </c>
      <c r="F114" t="str">
        <f t="shared" si="22"/>
        <v/>
      </c>
      <c r="G114" t="str">
        <f t="shared" si="23"/>
        <v/>
      </c>
      <c r="H114" s="3" t="str">
        <f t="shared" si="19"/>
        <v/>
      </c>
      <c r="I114" t="str">
        <f t="shared" si="29"/>
        <v/>
      </c>
      <c r="J114" t="str">
        <f t="shared" si="29"/>
        <v/>
      </c>
      <c r="K114" t="str">
        <f t="shared" si="29"/>
        <v/>
      </c>
      <c r="L114" t="str">
        <f t="shared" si="29"/>
        <v/>
      </c>
      <c r="M114" t="str">
        <f t="shared" si="29"/>
        <v/>
      </c>
      <c r="N114" t="str">
        <f t="shared" si="25"/>
        <v/>
      </c>
      <c r="O114" s="33" t="str">
        <f t="shared" si="26"/>
        <v/>
      </c>
      <c r="P114" s="47" t="str">
        <f>IF(AND(VALUE(LEFT($B$3,2))=30,IF(O114="","",COUNTIF($O$11:O114,"MEAL"))&gt;2),"",IF(O114="","",COUNTIF($O$11:O114,"MEAL")))</f>
        <v/>
      </c>
      <c r="Q114" t="str">
        <f t="shared" si="27"/>
        <v/>
      </c>
      <c r="R114" t="str">
        <f t="shared" si="20"/>
        <v/>
      </c>
      <c r="S114" t="str">
        <f t="shared" si="28"/>
        <v/>
      </c>
    </row>
    <row r="115" spans="1:19" x14ac:dyDescent="0.25">
      <c r="A115">
        <v>105</v>
      </c>
      <c r="B115" t="str">
        <f>IF(ScoreHelper!C129="","",ScoreHelper!C129)</f>
        <v/>
      </c>
      <c r="C115" t="s">
        <v>1051</v>
      </c>
      <c r="D115" t="str">
        <f t="shared" si="21"/>
        <v/>
      </c>
      <c r="E115" t="str">
        <f>IF(B115="","",IF(COUNTIF($D$11:D115,D115)&gt;1,"DP",D115))</f>
        <v/>
      </c>
      <c r="F115" t="str">
        <f t="shared" si="22"/>
        <v/>
      </c>
      <c r="G115" t="str">
        <f t="shared" si="23"/>
        <v/>
      </c>
      <c r="H115" s="3" t="str">
        <f t="shared" si="19"/>
        <v/>
      </c>
      <c r="I115" t="str">
        <f t="shared" si="29"/>
        <v/>
      </c>
      <c r="J115" t="str">
        <f t="shared" si="29"/>
        <v/>
      </c>
      <c r="K115" t="str">
        <f t="shared" si="29"/>
        <v/>
      </c>
      <c r="L115" t="str">
        <f t="shared" si="29"/>
        <v/>
      </c>
      <c r="M115" t="str">
        <f t="shared" si="29"/>
        <v/>
      </c>
      <c r="N115" t="str">
        <f t="shared" si="25"/>
        <v/>
      </c>
      <c r="O115" s="33" t="str">
        <f t="shared" si="26"/>
        <v/>
      </c>
      <c r="P115" s="47" t="str">
        <f>IF(AND(VALUE(LEFT($B$3,2))=30,IF(O115="","",COUNTIF($O$11:O115,"MEAL"))&gt;2),"",IF(O115="","",COUNTIF($O$11:O115,"MEAL")))</f>
        <v/>
      </c>
      <c r="Q115" t="str">
        <f t="shared" si="27"/>
        <v/>
      </c>
      <c r="R115" t="str">
        <f t="shared" si="20"/>
        <v/>
      </c>
      <c r="S115" t="str">
        <f t="shared" si="28"/>
        <v/>
      </c>
    </row>
    <row r="116" spans="1:19" x14ac:dyDescent="0.25">
      <c r="A116">
        <v>106</v>
      </c>
      <c r="B116" t="str">
        <f>IF(ScoreHelper!C130="","",ScoreHelper!C130)</f>
        <v/>
      </c>
      <c r="C116" t="s">
        <v>1051</v>
      </c>
      <c r="D116" t="str">
        <f t="shared" si="21"/>
        <v/>
      </c>
      <c r="E116" t="str">
        <f>IF(B116="","",IF(COUNTIF($D$11:D116,D116)&gt;1,"DP",D116))</f>
        <v/>
      </c>
      <c r="F116" t="str">
        <f t="shared" si="22"/>
        <v/>
      </c>
      <c r="G116" t="str">
        <f t="shared" si="23"/>
        <v/>
      </c>
      <c r="H116" s="3" t="str">
        <f t="shared" si="19"/>
        <v/>
      </c>
      <c r="I116" t="str">
        <f t="shared" si="29"/>
        <v/>
      </c>
      <c r="J116" t="str">
        <f t="shared" si="29"/>
        <v/>
      </c>
      <c r="K116" t="str">
        <f t="shared" si="29"/>
        <v/>
      </c>
      <c r="L116" t="str">
        <f t="shared" si="29"/>
        <v/>
      </c>
      <c r="M116" t="str">
        <f t="shared" si="29"/>
        <v/>
      </c>
      <c r="N116" t="str">
        <f t="shared" si="25"/>
        <v/>
      </c>
      <c r="O116" s="33" t="str">
        <f t="shared" si="26"/>
        <v/>
      </c>
      <c r="P116" s="47" t="str">
        <f>IF(AND(VALUE(LEFT($B$3,2))=30,IF(O116="","",COUNTIF($O$11:O116,"MEAL"))&gt;2),"",IF(O116="","",COUNTIF($O$11:O116,"MEAL")))</f>
        <v/>
      </c>
      <c r="Q116" t="str">
        <f t="shared" si="27"/>
        <v/>
      </c>
      <c r="R116" t="str">
        <f t="shared" si="20"/>
        <v/>
      </c>
      <c r="S116" t="str">
        <f t="shared" si="28"/>
        <v/>
      </c>
    </row>
    <row r="117" spans="1:19" x14ac:dyDescent="0.25">
      <c r="A117">
        <v>107</v>
      </c>
      <c r="B117" t="str">
        <f>IF(ScoreHelper!C131="","",ScoreHelper!C131)</f>
        <v/>
      </c>
      <c r="C117" t="s">
        <v>1051</v>
      </c>
      <c r="D117" t="str">
        <f t="shared" si="21"/>
        <v/>
      </c>
      <c r="E117" t="str">
        <f>IF(B117="","",IF(COUNTIF($D$11:D117,D117)&gt;1,"DP",D117))</f>
        <v/>
      </c>
      <c r="F117" t="str">
        <f t="shared" si="22"/>
        <v/>
      </c>
      <c r="G117" t="str">
        <f t="shared" si="23"/>
        <v/>
      </c>
      <c r="H117" s="3" t="str">
        <f t="shared" si="19"/>
        <v/>
      </c>
      <c r="I117" t="str">
        <f t="shared" si="29"/>
        <v/>
      </c>
      <c r="J117" t="str">
        <f t="shared" si="29"/>
        <v/>
      </c>
      <c r="K117" t="str">
        <f t="shared" si="29"/>
        <v/>
      </c>
      <c r="L117" t="str">
        <f t="shared" si="29"/>
        <v/>
      </c>
      <c r="M117" t="str">
        <f t="shared" si="29"/>
        <v/>
      </c>
      <c r="N117" t="str">
        <f t="shared" si="25"/>
        <v/>
      </c>
      <c r="O117" s="33" t="str">
        <f t="shared" si="26"/>
        <v/>
      </c>
      <c r="P117" s="47" t="str">
        <f>IF(AND(VALUE(LEFT($B$3,2))=30,IF(O117="","",COUNTIF($O$11:O117,"MEAL"))&gt;2),"",IF(O117="","",COUNTIF($O$11:O117,"MEAL")))</f>
        <v/>
      </c>
      <c r="Q117" t="str">
        <f t="shared" si="27"/>
        <v/>
      </c>
      <c r="R117" t="str">
        <f t="shared" si="20"/>
        <v/>
      </c>
      <c r="S117" t="str">
        <f t="shared" si="28"/>
        <v/>
      </c>
    </row>
    <row r="118" spans="1:19" x14ac:dyDescent="0.25">
      <c r="A118">
        <v>108</v>
      </c>
      <c r="B118" t="str">
        <f>IF(ScoreHelper!C132="","",ScoreHelper!C132)</f>
        <v/>
      </c>
      <c r="C118" t="s">
        <v>1051</v>
      </c>
      <c r="D118" t="str">
        <f t="shared" si="21"/>
        <v/>
      </c>
      <c r="E118" t="str">
        <f>IF(B118="","",IF(COUNTIF($D$11:D118,D118)&gt;1,"DP",D118))</f>
        <v/>
      </c>
      <c r="F118" t="str">
        <f t="shared" si="22"/>
        <v/>
      </c>
      <c r="G118" t="str">
        <f t="shared" si="23"/>
        <v/>
      </c>
      <c r="H118" s="3" t="str">
        <f t="shared" si="19"/>
        <v/>
      </c>
      <c r="I118" t="str">
        <f t="shared" si="29"/>
        <v/>
      </c>
      <c r="J118" t="str">
        <f t="shared" si="29"/>
        <v/>
      </c>
      <c r="K118" t="str">
        <f t="shared" si="29"/>
        <v/>
      </c>
      <c r="L118" t="str">
        <f t="shared" si="29"/>
        <v/>
      </c>
      <c r="M118" t="str">
        <f t="shared" si="29"/>
        <v/>
      </c>
      <c r="N118" t="str">
        <f t="shared" si="25"/>
        <v/>
      </c>
      <c r="O118" s="33" t="str">
        <f t="shared" si="26"/>
        <v/>
      </c>
      <c r="P118" s="47" t="str">
        <f>IF(AND(VALUE(LEFT($B$3,2))=30,IF(O118="","",COUNTIF($O$11:O118,"MEAL"))&gt;2),"",IF(O118="","",COUNTIF($O$11:O118,"MEAL")))</f>
        <v/>
      </c>
      <c r="Q118" t="str">
        <f t="shared" si="27"/>
        <v/>
      </c>
      <c r="R118" t="str">
        <f t="shared" si="20"/>
        <v/>
      </c>
      <c r="S118" t="str">
        <f t="shared" si="28"/>
        <v/>
      </c>
    </row>
    <row r="119" spans="1:19" x14ac:dyDescent="0.25">
      <c r="A119">
        <v>109</v>
      </c>
      <c r="B119" t="str">
        <f>IF(ScoreHelper!C133="","",ScoreHelper!C133)</f>
        <v/>
      </c>
      <c r="C119" t="s">
        <v>1051</v>
      </c>
      <c r="D119" t="str">
        <f t="shared" si="21"/>
        <v/>
      </c>
      <c r="E119" t="str">
        <f>IF(B119="","",IF(COUNTIF($D$11:D119,D119)&gt;1,"DP",D119))</f>
        <v/>
      </c>
      <c r="F119" t="str">
        <f t="shared" si="22"/>
        <v/>
      </c>
      <c r="G119" t="str">
        <f t="shared" si="23"/>
        <v/>
      </c>
      <c r="H119" s="3" t="str">
        <f t="shared" si="19"/>
        <v/>
      </c>
      <c r="I119" t="str">
        <f t="shared" si="29"/>
        <v/>
      </c>
      <c r="J119" t="str">
        <f t="shared" si="29"/>
        <v/>
      </c>
      <c r="K119" t="str">
        <f t="shared" si="29"/>
        <v/>
      </c>
      <c r="L119" t="str">
        <f t="shared" si="29"/>
        <v/>
      </c>
      <c r="M119" t="str">
        <f t="shared" si="29"/>
        <v/>
      </c>
      <c r="N119" t="str">
        <f t="shared" si="25"/>
        <v/>
      </c>
      <c r="O119" s="33" t="str">
        <f t="shared" si="26"/>
        <v/>
      </c>
      <c r="P119" s="47" t="str">
        <f>IF(AND(VALUE(LEFT($B$3,2))=30,IF(O119="","",COUNTIF($O$11:O119,"MEAL"))&gt;2),"",IF(O119="","",COUNTIF($O$11:O119,"MEAL")))</f>
        <v/>
      </c>
      <c r="Q119" t="str">
        <f t="shared" si="27"/>
        <v/>
      </c>
      <c r="R119" t="str">
        <f t="shared" si="20"/>
        <v/>
      </c>
      <c r="S119" t="str">
        <f t="shared" si="28"/>
        <v/>
      </c>
    </row>
    <row r="120" spans="1:19" x14ac:dyDescent="0.25">
      <c r="A120">
        <v>110</v>
      </c>
      <c r="B120" t="str">
        <f>IF(ScoreHelper!C134="","",ScoreHelper!C134)</f>
        <v/>
      </c>
      <c r="C120" t="s">
        <v>1051</v>
      </c>
      <c r="D120" t="str">
        <f t="shared" si="21"/>
        <v/>
      </c>
      <c r="E120" t="str">
        <f>IF(B120="","",IF(COUNTIF($D$11:D120,D120)&gt;1,"DP",D120))</f>
        <v/>
      </c>
      <c r="F120" t="str">
        <f t="shared" si="22"/>
        <v/>
      </c>
      <c r="G120" t="str">
        <f t="shared" si="23"/>
        <v/>
      </c>
      <c r="H120" s="3" t="str">
        <f t="shared" si="19"/>
        <v/>
      </c>
      <c r="I120" t="str">
        <f t="shared" si="29"/>
        <v/>
      </c>
      <c r="J120" t="str">
        <f t="shared" si="29"/>
        <v/>
      </c>
      <c r="K120" t="str">
        <f t="shared" si="29"/>
        <v/>
      </c>
      <c r="L120" t="str">
        <f t="shared" si="29"/>
        <v/>
      </c>
      <c r="M120" t="str">
        <f t="shared" si="29"/>
        <v/>
      </c>
      <c r="N120" t="str">
        <f t="shared" si="25"/>
        <v/>
      </c>
      <c r="O120" s="33" t="str">
        <f t="shared" si="26"/>
        <v/>
      </c>
      <c r="P120" s="47" t="str">
        <f>IF(AND(VALUE(LEFT($B$3,2))=30,IF(O120="","",COUNTIF($O$11:O120,"MEAL"))&gt;2),"",IF(O120="","",COUNTIF($O$11:O120,"MEAL")))</f>
        <v/>
      </c>
      <c r="Q120" t="str">
        <f t="shared" si="27"/>
        <v/>
      </c>
      <c r="R120" t="str">
        <f t="shared" si="20"/>
        <v/>
      </c>
      <c r="S120" t="str">
        <f t="shared" si="28"/>
        <v/>
      </c>
    </row>
    <row r="121" spans="1:19" x14ac:dyDescent="0.25">
      <c r="A121">
        <v>111</v>
      </c>
      <c r="B121" t="str">
        <f>IF(ScoreHelper!C135="","",ScoreHelper!C135)</f>
        <v/>
      </c>
      <c r="C121" t="s">
        <v>1051</v>
      </c>
      <c r="D121" t="str">
        <f t="shared" si="21"/>
        <v/>
      </c>
      <c r="E121" t="str">
        <f>IF(B121="","",IF(COUNTIF($D$11:D121,D121)&gt;1,"DP",D121))</f>
        <v/>
      </c>
      <c r="F121" t="str">
        <f t="shared" si="22"/>
        <v/>
      </c>
      <c r="G121" t="str">
        <f t="shared" si="23"/>
        <v/>
      </c>
      <c r="H121" s="3" t="str">
        <f t="shared" si="19"/>
        <v/>
      </c>
      <c r="I121" t="str">
        <f t="shared" si="29"/>
        <v/>
      </c>
      <c r="J121" t="str">
        <f t="shared" si="29"/>
        <v/>
      </c>
      <c r="K121" t="str">
        <f t="shared" si="29"/>
        <v/>
      </c>
      <c r="L121" t="str">
        <f t="shared" si="29"/>
        <v/>
      </c>
      <c r="M121" t="str">
        <f t="shared" si="29"/>
        <v/>
      </c>
      <c r="N121" t="str">
        <f t="shared" si="25"/>
        <v/>
      </c>
      <c r="O121" s="33" t="str">
        <f t="shared" si="26"/>
        <v/>
      </c>
      <c r="P121" s="47" t="str">
        <f>IF(AND(VALUE(LEFT($B$3,2))=30,IF(O121="","",COUNTIF($O$11:O121,"MEAL"))&gt;2),"",IF(O121="","",COUNTIF($O$11:O121,"MEAL")))</f>
        <v/>
      </c>
      <c r="Q121" t="str">
        <f t="shared" si="27"/>
        <v/>
      </c>
      <c r="R121" t="str">
        <f t="shared" si="20"/>
        <v/>
      </c>
      <c r="S121" t="str">
        <f t="shared" si="28"/>
        <v/>
      </c>
    </row>
    <row r="122" spans="1:19" x14ac:dyDescent="0.25">
      <c r="A122">
        <v>112</v>
      </c>
      <c r="B122" t="str">
        <f>IF(ScoreHelper!C136="","",ScoreHelper!C136)</f>
        <v/>
      </c>
      <c r="C122" t="s">
        <v>1051</v>
      </c>
      <c r="D122" t="str">
        <f t="shared" si="21"/>
        <v/>
      </c>
      <c r="E122" t="str">
        <f>IF(B122="","",IF(COUNTIF($D$11:D122,D122)&gt;1,"DP",D122))</f>
        <v/>
      </c>
      <c r="F122" t="str">
        <f t="shared" si="22"/>
        <v/>
      </c>
      <c r="G122" t="str">
        <f t="shared" si="23"/>
        <v/>
      </c>
      <c r="H122" s="3" t="str">
        <f t="shared" si="19"/>
        <v/>
      </c>
      <c r="I122" t="str">
        <f t="shared" si="29"/>
        <v/>
      </c>
      <c r="J122" t="str">
        <f t="shared" si="29"/>
        <v/>
      </c>
      <c r="K122" t="str">
        <f t="shared" si="29"/>
        <v/>
      </c>
      <c r="L122" t="str">
        <f t="shared" si="29"/>
        <v/>
      </c>
      <c r="M122" t="str">
        <f t="shared" si="29"/>
        <v/>
      </c>
      <c r="N122" t="str">
        <f t="shared" si="25"/>
        <v/>
      </c>
      <c r="O122" s="33" t="str">
        <f t="shared" si="26"/>
        <v/>
      </c>
      <c r="P122" s="47" t="str">
        <f>IF(AND(VALUE(LEFT($B$3,2))=30,IF(O122="","",COUNTIF($O$11:O122,"MEAL"))&gt;2),"",IF(O122="","",COUNTIF($O$11:O122,"MEAL")))</f>
        <v/>
      </c>
      <c r="Q122" t="str">
        <f t="shared" si="27"/>
        <v/>
      </c>
      <c r="R122" t="str">
        <f t="shared" si="20"/>
        <v/>
      </c>
      <c r="S122" t="str">
        <f t="shared" si="28"/>
        <v/>
      </c>
    </row>
    <row r="123" spans="1:19" x14ac:dyDescent="0.25">
      <c r="A123">
        <v>113</v>
      </c>
      <c r="B123" t="str">
        <f>IF(ScoreHelper!C137="","",ScoreHelper!C137)</f>
        <v/>
      </c>
      <c r="C123" t="s">
        <v>1051</v>
      </c>
      <c r="D123" t="str">
        <f t="shared" si="21"/>
        <v/>
      </c>
      <c r="E123" t="str">
        <f>IF(B123="","",IF(COUNTIF($D$11:D123,D123)&gt;1,"DP",D123))</f>
        <v/>
      </c>
      <c r="F123" t="str">
        <f t="shared" si="22"/>
        <v/>
      </c>
      <c r="G123" t="str">
        <f t="shared" si="23"/>
        <v/>
      </c>
      <c r="H123" s="3" t="str">
        <f t="shared" si="19"/>
        <v/>
      </c>
      <c r="I123" t="str">
        <f t="shared" si="29"/>
        <v/>
      </c>
      <c r="J123" t="str">
        <f t="shared" si="29"/>
        <v/>
      </c>
      <c r="K123" t="str">
        <f t="shared" si="29"/>
        <v/>
      </c>
      <c r="L123" t="str">
        <f t="shared" si="29"/>
        <v/>
      </c>
      <c r="M123" t="str">
        <f t="shared" si="29"/>
        <v/>
      </c>
      <c r="N123" t="str">
        <f t="shared" si="25"/>
        <v/>
      </c>
      <c r="O123" s="33" t="str">
        <f t="shared" si="26"/>
        <v/>
      </c>
      <c r="P123" s="47" t="str">
        <f>IF(AND(VALUE(LEFT($B$3,2))=30,IF(O123="","",COUNTIF($O$11:O123,"MEAL"))&gt;2),"",IF(O123="","",COUNTIF($O$11:O123,"MEAL")))</f>
        <v/>
      </c>
      <c r="Q123" t="str">
        <f t="shared" si="27"/>
        <v/>
      </c>
      <c r="R123" t="str">
        <f t="shared" si="20"/>
        <v/>
      </c>
      <c r="S123" t="str">
        <f t="shared" si="28"/>
        <v/>
      </c>
    </row>
    <row r="124" spans="1:19" x14ac:dyDescent="0.25">
      <c r="A124">
        <v>114</v>
      </c>
      <c r="B124" t="str">
        <f>IF(ScoreHelper!C138="","",ScoreHelper!C138)</f>
        <v/>
      </c>
      <c r="C124" t="s">
        <v>1051</v>
      </c>
      <c r="D124" t="str">
        <f t="shared" si="21"/>
        <v/>
      </c>
      <c r="E124" t="str">
        <f>IF(B124="","",IF(COUNTIF($D$11:D124,D124)&gt;1,"DP",D124))</f>
        <v/>
      </c>
      <c r="F124" t="str">
        <f t="shared" si="22"/>
        <v/>
      </c>
      <c r="G124" t="str">
        <f t="shared" si="23"/>
        <v/>
      </c>
      <c r="H124" s="3" t="str">
        <f t="shared" si="19"/>
        <v/>
      </c>
      <c r="I124" t="str">
        <f t="shared" si="29"/>
        <v/>
      </c>
      <c r="J124" t="str">
        <f t="shared" si="29"/>
        <v/>
      </c>
      <c r="K124" t="str">
        <f t="shared" si="29"/>
        <v/>
      </c>
      <c r="L124" t="str">
        <f t="shared" si="29"/>
        <v/>
      </c>
      <c r="M124" t="str">
        <f t="shared" si="29"/>
        <v/>
      </c>
      <c r="N124" t="str">
        <f t="shared" si="25"/>
        <v/>
      </c>
      <c r="O124" s="33" t="str">
        <f t="shared" si="26"/>
        <v/>
      </c>
      <c r="P124" s="47" t="str">
        <f>IF(AND(VALUE(LEFT($B$3,2))=30,IF(O124="","",COUNTIF($O$11:O124,"MEAL"))&gt;2),"",IF(O124="","",COUNTIF($O$11:O124,"MEAL")))</f>
        <v/>
      </c>
      <c r="Q124" t="str">
        <f t="shared" si="27"/>
        <v/>
      </c>
      <c r="R124" t="str">
        <f t="shared" si="20"/>
        <v/>
      </c>
      <c r="S124" t="str">
        <f t="shared" si="28"/>
        <v/>
      </c>
    </row>
    <row r="125" spans="1:19" x14ac:dyDescent="0.25">
      <c r="A125">
        <v>115</v>
      </c>
      <c r="B125" t="str">
        <f>IF(ScoreHelper!C139="","",ScoreHelper!C139)</f>
        <v/>
      </c>
      <c r="C125" t="s">
        <v>1051</v>
      </c>
      <c r="D125" t="str">
        <f t="shared" si="21"/>
        <v/>
      </c>
      <c r="E125" t="str">
        <f>IF(B125="","",IF(COUNTIF($D$11:D125,D125)&gt;1,"DP",D125))</f>
        <v/>
      </c>
      <c r="F125" t="str">
        <f t="shared" si="22"/>
        <v/>
      </c>
      <c r="G125" t="str">
        <f t="shared" si="23"/>
        <v/>
      </c>
      <c r="H125" s="3" t="str">
        <f t="shared" si="19"/>
        <v/>
      </c>
      <c r="I125" t="str">
        <f t="shared" si="29"/>
        <v/>
      </c>
      <c r="J125" t="str">
        <f t="shared" si="29"/>
        <v/>
      </c>
      <c r="K125" t="str">
        <f t="shared" si="29"/>
        <v/>
      </c>
      <c r="L125" t="str">
        <f t="shared" si="29"/>
        <v/>
      </c>
      <c r="M125" t="str">
        <f t="shared" si="29"/>
        <v/>
      </c>
      <c r="N125" t="str">
        <f t="shared" si="25"/>
        <v/>
      </c>
      <c r="O125" s="33" t="str">
        <f t="shared" si="26"/>
        <v/>
      </c>
      <c r="P125" s="47" t="str">
        <f>IF(AND(VALUE(LEFT($B$3,2))=30,IF(O125="","",COUNTIF($O$11:O125,"MEAL"))&gt;2),"",IF(O125="","",COUNTIF($O$11:O125,"MEAL")))</f>
        <v/>
      </c>
      <c r="Q125" t="str">
        <f t="shared" si="27"/>
        <v/>
      </c>
      <c r="R125" t="str">
        <f t="shared" si="20"/>
        <v/>
      </c>
      <c r="S125" t="str">
        <f t="shared" si="28"/>
        <v/>
      </c>
    </row>
    <row r="175" spans="1:12" x14ac:dyDescent="0.25">
      <c r="D175" t="s">
        <v>1100</v>
      </c>
      <c r="I175" s="40" t="s">
        <v>1102</v>
      </c>
      <c r="J175" s="40" t="s">
        <v>10</v>
      </c>
      <c r="K175" s="40" t="s">
        <v>1101</v>
      </c>
      <c r="L175" s="40" t="s">
        <v>1103</v>
      </c>
    </row>
    <row r="176" spans="1:12" x14ac:dyDescent="0.25">
      <c r="A176" t="s">
        <v>1070</v>
      </c>
      <c r="B176" t="s">
        <v>344</v>
      </c>
      <c r="D176">
        <f>COUNTIF($I$201:$I$345,B176)</f>
        <v>28</v>
      </c>
      <c r="I176">
        <v>280</v>
      </c>
      <c r="J176">
        <v>6000</v>
      </c>
      <c r="K176">
        <f>COUNTIF($O$201:$O$345,B176)</f>
        <v>0</v>
      </c>
      <c r="L176">
        <f>IF(D176=K176,J176,0)</f>
        <v>0</v>
      </c>
    </row>
    <row r="177" spans="1:12" x14ac:dyDescent="0.25">
      <c r="A177" t="s">
        <v>1070</v>
      </c>
      <c r="B177" t="s">
        <v>333</v>
      </c>
      <c r="D177">
        <f t="shared" ref="D177:D179" si="30">COUNTIF($I$201:$I$345,B177)</f>
        <v>42</v>
      </c>
      <c r="I177">
        <v>420</v>
      </c>
      <c r="J177">
        <v>1000</v>
      </c>
      <c r="K177">
        <f t="shared" ref="K177:K179" si="31">COUNTIF($O$201:$O$345,B177)</f>
        <v>0</v>
      </c>
      <c r="L177">
        <f t="shared" ref="L177:L196" si="32">IF(D177=K177,J177,0)</f>
        <v>0</v>
      </c>
    </row>
    <row r="178" spans="1:12" x14ac:dyDescent="0.25">
      <c r="A178" t="s">
        <v>1070</v>
      </c>
      <c r="B178" t="s">
        <v>342</v>
      </c>
      <c r="D178">
        <f t="shared" si="30"/>
        <v>37</v>
      </c>
      <c r="I178">
        <v>380</v>
      </c>
      <c r="J178">
        <v>5500</v>
      </c>
      <c r="K178">
        <f t="shared" si="31"/>
        <v>0</v>
      </c>
      <c r="L178">
        <f t="shared" si="32"/>
        <v>0</v>
      </c>
    </row>
    <row r="179" spans="1:12" x14ac:dyDescent="0.25">
      <c r="A179" t="s">
        <v>1070</v>
      </c>
      <c r="B179" t="s">
        <v>343</v>
      </c>
      <c r="D179">
        <f t="shared" si="30"/>
        <v>38</v>
      </c>
      <c r="I179">
        <v>380</v>
      </c>
      <c r="J179">
        <v>8000</v>
      </c>
      <c r="K179">
        <f t="shared" si="31"/>
        <v>0</v>
      </c>
      <c r="L179">
        <f t="shared" si="32"/>
        <v>0</v>
      </c>
    </row>
    <row r="180" spans="1:12" x14ac:dyDescent="0.25">
      <c r="A180" t="s">
        <v>1070</v>
      </c>
      <c r="B180" t="s">
        <v>12</v>
      </c>
      <c r="D180">
        <f>COUNTIF($H$201:$H$345,B180)</f>
        <v>28</v>
      </c>
      <c r="I180">
        <v>280</v>
      </c>
      <c r="J180">
        <v>0</v>
      </c>
      <c r="K180">
        <f>COUNTIF($L$201:$L$345,B180)</f>
        <v>0</v>
      </c>
      <c r="L180">
        <f t="shared" si="32"/>
        <v>0</v>
      </c>
    </row>
    <row r="181" spans="1:12" x14ac:dyDescent="0.25">
      <c r="A181" t="s">
        <v>1070</v>
      </c>
      <c r="B181" t="s">
        <v>13</v>
      </c>
      <c r="D181">
        <f t="shared" ref="D181:D188" si="33">COUNTIF($H$201:$H$345,B181)</f>
        <v>32</v>
      </c>
      <c r="I181">
        <v>320</v>
      </c>
      <c r="J181">
        <v>5000</v>
      </c>
      <c r="K181">
        <f t="shared" ref="K181:K188" si="34">COUNTIF($L$201:$L$345,B181)</f>
        <v>0</v>
      </c>
      <c r="L181">
        <f t="shared" si="32"/>
        <v>0</v>
      </c>
    </row>
    <row r="182" spans="1:12" x14ac:dyDescent="0.25">
      <c r="A182" t="s">
        <v>1070</v>
      </c>
      <c r="B182" t="s">
        <v>14</v>
      </c>
      <c r="D182">
        <f t="shared" si="33"/>
        <v>8</v>
      </c>
      <c r="I182">
        <v>80</v>
      </c>
      <c r="J182">
        <v>5000</v>
      </c>
      <c r="K182">
        <f t="shared" si="34"/>
        <v>0</v>
      </c>
      <c r="L182">
        <f t="shared" si="32"/>
        <v>0</v>
      </c>
    </row>
    <row r="183" spans="1:12" x14ac:dyDescent="0.25">
      <c r="A183" t="s">
        <v>1070</v>
      </c>
      <c r="B183" t="s">
        <v>16</v>
      </c>
      <c r="D183">
        <f t="shared" si="33"/>
        <v>20</v>
      </c>
      <c r="I183">
        <v>210</v>
      </c>
      <c r="J183">
        <v>2000</v>
      </c>
      <c r="K183">
        <f t="shared" si="34"/>
        <v>0</v>
      </c>
      <c r="L183">
        <f t="shared" si="32"/>
        <v>0</v>
      </c>
    </row>
    <row r="184" spans="1:12" x14ac:dyDescent="0.25">
      <c r="A184" t="s">
        <v>1070</v>
      </c>
      <c r="B184" t="s">
        <v>18</v>
      </c>
      <c r="D184">
        <f t="shared" si="33"/>
        <v>7</v>
      </c>
      <c r="I184">
        <v>70</v>
      </c>
      <c r="J184">
        <v>1500</v>
      </c>
      <c r="K184">
        <f t="shared" si="34"/>
        <v>0</v>
      </c>
      <c r="L184">
        <f t="shared" si="32"/>
        <v>0</v>
      </c>
    </row>
    <row r="185" spans="1:12" x14ac:dyDescent="0.25">
      <c r="A185" t="s">
        <v>1070</v>
      </c>
      <c r="B185" t="s">
        <v>15</v>
      </c>
      <c r="D185">
        <f t="shared" si="33"/>
        <v>2</v>
      </c>
      <c r="I185">
        <v>20</v>
      </c>
      <c r="J185">
        <v>1500</v>
      </c>
      <c r="K185">
        <f t="shared" si="34"/>
        <v>0</v>
      </c>
      <c r="L185">
        <f t="shared" si="32"/>
        <v>0</v>
      </c>
    </row>
    <row r="186" spans="1:12" x14ac:dyDescent="0.25">
      <c r="A186" t="s">
        <v>1070</v>
      </c>
      <c r="B186" t="s">
        <v>20</v>
      </c>
      <c r="D186">
        <f t="shared" si="33"/>
        <v>38</v>
      </c>
      <c r="I186">
        <v>380</v>
      </c>
      <c r="J186">
        <v>0</v>
      </c>
      <c r="K186">
        <f t="shared" si="34"/>
        <v>0</v>
      </c>
      <c r="L186">
        <f t="shared" si="32"/>
        <v>0</v>
      </c>
    </row>
    <row r="187" spans="1:12" x14ac:dyDescent="0.25">
      <c r="A187" t="s">
        <v>1070</v>
      </c>
      <c r="B187" t="s">
        <v>19</v>
      </c>
      <c r="D187">
        <f t="shared" si="33"/>
        <v>4</v>
      </c>
      <c r="I187">
        <v>40</v>
      </c>
      <c r="J187">
        <v>1000</v>
      </c>
      <c r="K187">
        <f t="shared" si="34"/>
        <v>0</v>
      </c>
      <c r="L187">
        <f t="shared" si="32"/>
        <v>0</v>
      </c>
    </row>
    <row r="188" spans="1:12" x14ac:dyDescent="0.25">
      <c r="A188" t="s">
        <v>1070</v>
      </c>
      <c r="B188" t="s">
        <v>17</v>
      </c>
      <c r="D188">
        <f t="shared" si="33"/>
        <v>6</v>
      </c>
      <c r="I188">
        <v>60</v>
      </c>
      <c r="J188">
        <v>1000</v>
      </c>
      <c r="K188">
        <f t="shared" si="34"/>
        <v>0</v>
      </c>
      <c r="L188">
        <f t="shared" si="32"/>
        <v>0</v>
      </c>
    </row>
    <row r="189" spans="1:12" x14ac:dyDescent="0.25">
      <c r="A189" t="s">
        <v>1070</v>
      </c>
      <c r="B189" t="s">
        <v>334</v>
      </c>
      <c r="D189">
        <f>COUNTIF($J$201:$J$345,B189)</f>
        <v>39</v>
      </c>
      <c r="I189">
        <v>400</v>
      </c>
      <c r="J189">
        <v>2500</v>
      </c>
      <c r="K189">
        <f>COUNTIF($M$201:$M$345,B189)</f>
        <v>0</v>
      </c>
      <c r="L189">
        <f t="shared" si="32"/>
        <v>0</v>
      </c>
    </row>
    <row r="190" spans="1:12" x14ac:dyDescent="0.25">
      <c r="A190" t="s">
        <v>1070</v>
      </c>
      <c r="B190" t="s">
        <v>336</v>
      </c>
      <c r="D190">
        <f t="shared" ref="D190:D196" si="35">COUNTIF($J$201:$J$345,B190)</f>
        <v>45</v>
      </c>
      <c r="I190">
        <v>450</v>
      </c>
      <c r="J190">
        <v>2500</v>
      </c>
      <c r="K190">
        <f t="shared" ref="K190:K196" si="36">COUNTIF($M$201:$M$345,B190)</f>
        <v>0</v>
      </c>
      <c r="L190">
        <f t="shared" si="32"/>
        <v>0</v>
      </c>
    </row>
    <row r="191" spans="1:12" x14ac:dyDescent="0.25">
      <c r="A191" t="s">
        <v>1070</v>
      </c>
      <c r="B191" t="s">
        <v>335</v>
      </c>
      <c r="D191">
        <f t="shared" si="35"/>
        <v>13</v>
      </c>
      <c r="I191">
        <v>130</v>
      </c>
      <c r="J191">
        <v>1600</v>
      </c>
      <c r="K191">
        <f t="shared" si="36"/>
        <v>0</v>
      </c>
      <c r="L191">
        <f t="shared" si="32"/>
        <v>0</v>
      </c>
    </row>
    <row r="192" spans="1:12" x14ac:dyDescent="0.25">
      <c r="A192" t="s">
        <v>1070</v>
      </c>
      <c r="B192" t="s">
        <v>337</v>
      </c>
      <c r="D192">
        <f t="shared" si="35"/>
        <v>9</v>
      </c>
      <c r="I192">
        <v>90</v>
      </c>
      <c r="J192">
        <v>4500</v>
      </c>
      <c r="K192">
        <f t="shared" si="36"/>
        <v>0</v>
      </c>
      <c r="L192">
        <f t="shared" si="32"/>
        <v>0</v>
      </c>
    </row>
    <row r="193" spans="1:15" x14ac:dyDescent="0.25">
      <c r="A193" t="s">
        <v>1070</v>
      </c>
      <c r="B193" t="s">
        <v>340</v>
      </c>
      <c r="D193">
        <f t="shared" si="35"/>
        <v>6</v>
      </c>
      <c r="I193">
        <v>60</v>
      </c>
      <c r="J193">
        <v>5500</v>
      </c>
      <c r="K193">
        <f t="shared" si="36"/>
        <v>0</v>
      </c>
      <c r="L193">
        <f t="shared" si="32"/>
        <v>0</v>
      </c>
    </row>
    <row r="194" spans="1:15" x14ac:dyDescent="0.25">
      <c r="A194" t="s">
        <v>1070</v>
      </c>
      <c r="B194" t="s">
        <v>338</v>
      </c>
      <c r="D194">
        <f t="shared" si="35"/>
        <v>24</v>
      </c>
      <c r="I194">
        <v>240</v>
      </c>
      <c r="J194">
        <v>3000</v>
      </c>
      <c r="K194">
        <f t="shared" si="36"/>
        <v>0</v>
      </c>
      <c r="L194">
        <f t="shared" si="32"/>
        <v>0</v>
      </c>
    </row>
    <row r="195" spans="1:15" x14ac:dyDescent="0.25">
      <c r="A195" t="s">
        <v>1070</v>
      </c>
      <c r="B195" t="s">
        <v>341</v>
      </c>
      <c r="D195">
        <f t="shared" si="35"/>
        <v>6</v>
      </c>
      <c r="I195">
        <v>60</v>
      </c>
      <c r="J195">
        <v>1200</v>
      </c>
      <c r="K195">
        <f t="shared" si="36"/>
        <v>0</v>
      </c>
      <c r="L195">
        <f t="shared" si="32"/>
        <v>0</v>
      </c>
    </row>
    <row r="196" spans="1:15" x14ac:dyDescent="0.25">
      <c r="A196" t="s">
        <v>1070</v>
      </c>
      <c r="B196" t="s">
        <v>339</v>
      </c>
      <c r="D196">
        <f t="shared" si="35"/>
        <v>3</v>
      </c>
      <c r="I196">
        <v>30</v>
      </c>
      <c r="J196">
        <v>1200</v>
      </c>
      <c r="K196">
        <f t="shared" si="36"/>
        <v>0</v>
      </c>
      <c r="L196">
        <f t="shared" si="32"/>
        <v>0</v>
      </c>
    </row>
    <row r="198" spans="1:15" x14ac:dyDescent="0.25">
      <c r="D198">
        <f>SUM(D189:D196)</f>
        <v>145</v>
      </c>
      <c r="E198">
        <f>SUM(D180:D188)</f>
        <v>145</v>
      </c>
      <c r="F198">
        <f>SUM(D176:D179)</f>
        <v>145</v>
      </c>
      <c r="L198">
        <f>SUM(L176:L197)</f>
        <v>0</v>
      </c>
    </row>
    <row r="200" spans="1:15" ht="18.75" x14ac:dyDescent="0.3">
      <c r="A200" s="5" t="s">
        <v>1054</v>
      </c>
    </row>
    <row r="201" spans="1:15" x14ac:dyDescent="0.25">
      <c r="A201" s="3" t="s">
        <v>33</v>
      </c>
      <c r="B201" s="3" t="s">
        <v>180</v>
      </c>
      <c r="C201" s="3">
        <v>32.195447000000001</v>
      </c>
      <c r="D201" s="3">
        <v>-94.914913999999996</v>
      </c>
      <c r="E201" s="3" t="s">
        <v>325</v>
      </c>
      <c r="F201" s="3" t="s">
        <v>842</v>
      </c>
      <c r="G201" s="3">
        <v>2263</v>
      </c>
      <c r="H201" s="3" t="s">
        <v>13</v>
      </c>
      <c r="I201" s="3" t="s">
        <v>333</v>
      </c>
      <c r="J201" s="10" t="s">
        <v>334</v>
      </c>
      <c r="K201" t="str">
        <f>IF(COUNTIF($F$11:$F$125,A201)&gt;0,"Y","")</f>
        <v/>
      </c>
      <c r="L201" t="str">
        <f>IF(K201="Y",H201,"")</f>
        <v/>
      </c>
      <c r="M201" t="str">
        <f>IF(K201="Y",J201,"")</f>
        <v/>
      </c>
      <c r="N201" t="str">
        <f>IF(K201="Y",G201,"")</f>
        <v/>
      </c>
      <c r="O201" t="str">
        <f>IF(K201="Y",I201,"")</f>
        <v/>
      </c>
    </row>
    <row r="202" spans="1:15" x14ac:dyDescent="0.25">
      <c r="A202" s="3" t="s">
        <v>34</v>
      </c>
      <c r="B202" s="3" t="s">
        <v>181</v>
      </c>
      <c r="C202" s="3">
        <v>31.311059</v>
      </c>
      <c r="D202" s="3">
        <v>-96.617508000000001</v>
      </c>
      <c r="E202" s="3" t="s">
        <v>325</v>
      </c>
      <c r="F202" s="3" t="s">
        <v>843</v>
      </c>
      <c r="G202" s="3">
        <v>1037</v>
      </c>
      <c r="H202" s="3" t="s">
        <v>13</v>
      </c>
      <c r="I202" s="3" t="s">
        <v>333</v>
      </c>
      <c r="J202" s="10" t="s">
        <v>334</v>
      </c>
      <c r="K202" t="str">
        <f t="shared" ref="K202:K265" si="37">IF(COUNTIF($F$11:$F$125,A202)&gt;0,"Y","")</f>
        <v/>
      </c>
      <c r="L202" t="str">
        <f t="shared" ref="L202:L265" si="38">IF(K202="Y",H202,"")</f>
        <v/>
      </c>
      <c r="M202" t="str">
        <f t="shared" ref="M202:M265" si="39">IF(K202="Y",J202,"")</f>
        <v/>
      </c>
      <c r="N202" t="str">
        <f t="shared" ref="N202:N265" si="40">IF(K202="Y",G202,"")</f>
        <v/>
      </c>
      <c r="O202" t="str">
        <f t="shared" ref="O202:O265" si="41">IF(K202="Y",I202,"")</f>
        <v/>
      </c>
    </row>
    <row r="203" spans="1:15" x14ac:dyDescent="0.25">
      <c r="A203" s="3" t="s">
        <v>35</v>
      </c>
      <c r="B203" s="3" t="s">
        <v>182</v>
      </c>
      <c r="C203" s="3">
        <v>32.542496</v>
      </c>
      <c r="D203" s="3">
        <v>-94.815797000000003</v>
      </c>
      <c r="E203" s="3" t="s">
        <v>325</v>
      </c>
      <c r="F203" s="3" t="s">
        <v>844</v>
      </c>
      <c r="G203" s="3">
        <v>1071</v>
      </c>
      <c r="H203" s="3" t="s">
        <v>13</v>
      </c>
      <c r="I203" s="3" t="s">
        <v>333</v>
      </c>
      <c r="J203" s="10" t="s">
        <v>334</v>
      </c>
      <c r="K203" t="str">
        <f t="shared" si="37"/>
        <v/>
      </c>
      <c r="L203" t="str">
        <f t="shared" si="38"/>
        <v/>
      </c>
      <c r="M203" t="str">
        <f t="shared" si="39"/>
        <v/>
      </c>
      <c r="N203" t="str">
        <f t="shared" si="40"/>
        <v/>
      </c>
      <c r="O203" t="str">
        <f t="shared" si="41"/>
        <v/>
      </c>
    </row>
    <row r="204" spans="1:15" x14ac:dyDescent="0.25">
      <c r="A204" s="3" t="s">
        <v>36</v>
      </c>
      <c r="B204" s="3" t="s">
        <v>183</v>
      </c>
      <c r="C204" s="3">
        <v>32.53087</v>
      </c>
      <c r="D204" s="3">
        <v>-95.640590000000003</v>
      </c>
      <c r="E204" s="3" t="s">
        <v>325</v>
      </c>
      <c r="F204" s="3" t="s">
        <v>845</v>
      </c>
      <c r="G204" s="3">
        <v>642</v>
      </c>
      <c r="H204" s="3" t="s">
        <v>13</v>
      </c>
      <c r="I204" s="3" t="s">
        <v>333</v>
      </c>
      <c r="J204" s="10" t="s">
        <v>334</v>
      </c>
      <c r="K204" t="str">
        <f t="shared" si="37"/>
        <v/>
      </c>
      <c r="L204" t="str">
        <f t="shared" si="38"/>
        <v/>
      </c>
      <c r="M204" t="str">
        <f t="shared" si="39"/>
        <v/>
      </c>
      <c r="N204" t="str">
        <f t="shared" si="40"/>
        <v/>
      </c>
      <c r="O204" t="str">
        <f t="shared" si="41"/>
        <v/>
      </c>
    </row>
    <row r="205" spans="1:15" x14ac:dyDescent="0.25">
      <c r="A205" s="3" t="s">
        <v>37</v>
      </c>
      <c r="B205" s="3" t="s">
        <v>184</v>
      </c>
      <c r="C205" s="3">
        <v>32.178420000000003</v>
      </c>
      <c r="D205" s="3">
        <v>-94.922685000000001</v>
      </c>
      <c r="E205" s="3" t="s">
        <v>325</v>
      </c>
      <c r="F205" s="3" t="s">
        <v>846</v>
      </c>
      <c r="G205" s="3">
        <v>3017</v>
      </c>
      <c r="H205" s="3" t="s">
        <v>13</v>
      </c>
      <c r="I205" s="3" t="s">
        <v>333</v>
      </c>
      <c r="J205" s="10" t="s">
        <v>334</v>
      </c>
      <c r="K205" t="str">
        <f t="shared" si="37"/>
        <v/>
      </c>
      <c r="L205" t="str">
        <f t="shared" si="38"/>
        <v/>
      </c>
      <c r="M205" t="str">
        <f t="shared" si="39"/>
        <v/>
      </c>
      <c r="N205" t="str">
        <f t="shared" si="40"/>
        <v/>
      </c>
      <c r="O205" t="str">
        <f t="shared" si="41"/>
        <v/>
      </c>
    </row>
    <row r="206" spans="1:15" x14ac:dyDescent="0.25">
      <c r="A206" s="3" t="s">
        <v>38</v>
      </c>
      <c r="B206" s="3" t="s">
        <v>185</v>
      </c>
      <c r="C206" s="3">
        <v>32.534709999999997</v>
      </c>
      <c r="D206" s="3">
        <v>-94.945120000000003</v>
      </c>
      <c r="E206" s="3" t="s">
        <v>325</v>
      </c>
      <c r="F206" s="3" t="s">
        <v>847</v>
      </c>
      <c r="G206" s="3">
        <v>1814</v>
      </c>
      <c r="H206" s="3" t="s">
        <v>13</v>
      </c>
      <c r="I206" s="3" t="s">
        <v>333</v>
      </c>
      <c r="J206" s="10" t="s">
        <v>334</v>
      </c>
      <c r="K206" t="str">
        <f t="shared" si="37"/>
        <v/>
      </c>
      <c r="L206" t="str">
        <f t="shared" si="38"/>
        <v/>
      </c>
      <c r="M206" t="str">
        <f t="shared" si="39"/>
        <v/>
      </c>
      <c r="N206" t="str">
        <f t="shared" si="40"/>
        <v/>
      </c>
      <c r="O206" t="str">
        <f t="shared" si="41"/>
        <v/>
      </c>
    </row>
    <row r="207" spans="1:15" x14ac:dyDescent="0.25">
      <c r="A207" s="3" t="s">
        <v>39</v>
      </c>
      <c r="B207" s="3" t="s">
        <v>186</v>
      </c>
      <c r="C207" s="3">
        <v>30.279986999999998</v>
      </c>
      <c r="D207" s="3">
        <v>-97.734723000000002</v>
      </c>
      <c r="E207" s="3" t="s">
        <v>325</v>
      </c>
      <c r="F207" s="3" t="s">
        <v>848</v>
      </c>
      <c r="G207" s="3">
        <v>145</v>
      </c>
      <c r="H207" s="3" t="s">
        <v>14</v>
      </c>
      <c r="I207" s="3" t="s">
        <v>333</v>
      </c>
      <c r="J207" s="10" t="s">
        <v>334</v>
      </c>
      <c r="K207" t="str">
        <f t="shared" si="37"/>
        <v/>
      </c>
      <c r="L207" t="str">
        <f t="shared" si="38"/>
        <v/>
      </c>
      <c r="M207" t="str">
        <f t="shared" si="39"/>
        <v/>
      </c>
      <c r="N207" t="str">
        <f t="shared" si="40"/>
        <v/>
      </c>
      <c r="O207" t="str">
        <f t="shared" si="41"/>
        <v/>
      </c>
    </row>
    <row r="208" spans="1:15" x14ac:dyDescent="0.25">
      <c r="A208" s="3" t="s">
        <v>40</v>
      </c>
      <c r="B208" s="3" t="s">
        <v>187</v>
      </c>
      <c r="C208" s="3">
        <v>33.3628</v>
      </c>
      <c r="D208" s="3">
        <v>-95.107410000000002</v>
      </c>
      <c r="E208" s="3" t="s">
        <v>325</v>
      </c>
      <c r="F208" s="3" t="s">
        <v>849</v>
      </c>
      <c r="G208" s="3">
        <v>246</v>
      </c>
      <c r="H208" s="3" t="s">
        <v>15</v>
      </c>
      <c r="I208" s="3" t="s">
        <v>333</v>
      </c>
      <c r="J208" s="10" t="s">
        <v>334</v>
      </c>
      <c r="K208" t="str">
        <f t="shared" si="37"/>
        <v/>
      </c>
      <c r="L208" t="str">
        <f t="shared" si="38"/>
        <v/>
      </c>
      <c r="M208" t="str">
        <f t="shared" si="39"/>
        <v/>
      </c>
      <c r="N208" t="str">
        <f t="shared" si="40"/>
        <v/>
      </c>
      <c r="O208" t="str">
        <f t="shared" si="41"/>
        <v/>
      </c>
    </row>
    <row r="209" spans="1:15" x14ac:dyDescent="0.25">
      <c r="A209" s="3" t="s">
        <v>41</v>
      </c>
      <c r="B209" s="3" t="s">
        <v>188</v>
      </c>
      <c r="C209" s="3">
        <v>29.170795999999999</v>
      </c>
      <c r="D209" s="3">
        <v>-95.670351999999994</v>
      </c>
      <c r="E209" s="3" t="s">
        <v>325</v>
      </c>
      <c r="F209" s="3" t="s">
        <v>850</v>
      </c>
      <c r="G209" s="3">
        <v>295</v>
      </c>
      <c r="H209" s="3" t="s">
        <v>13</v>
      </c>
      <c r="I209" s="3" t="s">
        <v>333</v>
      </c>
      <c r="J209" s="10" t="s">
        <v>335</v>
      </c>
      <c r="K209" t="str">
        <f t="shared" si="37"/>
        <v/>
      </c>
      <c r="L209" t="str">
        <f t="shared" si="38"/>
        <v/>
      </c>
      <c r="M209" t="str">
        <f t="shared" si="39"/>
        <v/>
      </c>
      <c r="N209" t="str">
        <f t="shared" si="40"/>
        <v/>
      </c>
      <c r="O209" t="str">
        <f t="shared" si="41"/>
        <v/>
      </c>
    </row>
    <row r="210" spans="1:15" x14ac:dyDescent="0.25">
      <c r="A210" s="3" t="s">
        <v>42</v>
      </c>
      <c r="B210" s="3" t="s">
        <v>189</v>
      </c>
      <c r="C210" s="3">
        <v>29.999548999999998</v>
      </c>
      <c r="D210" s="3">
        <v>-95.233866000000006</v>
      </c>
      <c r="E210" s="3" t="s">
        <v>325</v>
      </c>
      <c r="F210" s="3" t="s">
        <v>851</v>
      </c>
      <c r="G210" s="3">
        <v>265</v>
      </c>
      <c r="H210" s="3" t="s">
        <v>13</v>
      </c>
      <c r="I210" s="3" t="s">
        <v>333</v>
      </c>
      <c r="J210" s="10" t="s">
        <v>335</v>
      </c>
      <c r="K210" t="str">
        <f t="shared" si="37"/>
        <v/>
      </c>
      <c r="L210" t="str">
        <f t="shared" si="38"/>
        <v/>
      </c>
      <c r="M210" t="str">
        <f t="shared" si="39"/>
        <v/>
      </c>
      <c r="N210" t="str">
        <f t="shared" si="40"/>
        <v/>
      </c>
      <c r="O210" t="str">
        <f t="shared" si="41"/>
        <v/>
      </c>
    </row>
    <row r="211" spans="1:15" x14ac:dyDescent="0.25">
      <c r="A211" s="3" t="s">
        <v>43</v>
      </c>
      <c r="B211" s="3" t="s">
        <v>190</v>
      </c>
      <c r="C211" s="3">
        <v>29.734093999999999</v>
      </c>
      <c r="D211" s="3">
        <v>-94.970065000000005</v>
      </c>
      <c r="E211" s="3" t="s">
        <v>325</v>
      </c>
      <c r="F211" s="3" t="s">
        <v>852</v>
      </c>
      <c r="G211" s="3">
        <v>294</v>
      </c>
      <c r="H211" s="3" t="s">
        <v>15</v>
      </c>
      <c r="I211" s="3" t="s">
        <v>333</v>
      </c>
      <c r="J211" s="10" t="s">
        <v>335</v>
      </c>
      <c r="K211" t="str">
        <f t="shared" si="37"/>
        <v/>
      </c>
      <c r="L211" t="str">
        <f t="shared" si="38"/>
        <v/>
      </c>
      <c r="M211" t="str">
        <f t="shared" si="39"/>
        <v/>
      </c>
      <c r="N211" t="str">
        <f t="shared" si="40"/>
        <v/>
      </c>
      <c r="O211" t="str">
        <f t="shared" si="41"/>
        <v/>
      </c>
    </row>
    <row r="212" spans="1:15" x14ac:dyDescent="0.25">
      <c r="A212" s="3" t="s">
        <v>44</v>
      </c>
      <c r="B212" s="3" t="s">
        <v>191</v>
      </c>
      <c r="C212" s="3">
        <v>32.548009999999998</v>
      </c>
      <c r="D212" s="3">
        <v>-99.163780000000003</v>
      </c>
      <c r="E212" s="3" t="s">
        <v>325</v>
      </c>
      <c r="F212" s="3" t="s">
        <v>853</v>
      </c>
      <c r="G212" s="3">
        <v>1259</v>
      </c>
      <c r="H212" s="3" t="s">
        <v>13</v>
      </c>
      <c r="I212" s="3" t="s">
        <v>333</v>
      </c>
      <c r="J212" s="10" t="s">
        <v>336</v>
      </c>
      <c r="K212" t="str">
        <f t="shared" si="37"/>
        <v/>
      </c>
      <c r="L212" t="str">
        <f t="shared" si="38"/>
        <v/>
      </c>
      <c r="M212" t="str">
        <f t="shared" si="39"/>
        <v/>
      </c>
      <c r="N212" t="str">
        <f t="shared" si="40"/>
        <v/>
      </c>
      <c r="O212" t="str">
        <f t="shared" si="41"/>
        <v/>
      </c>
    </row>
    <row r="213" spans="1:15" x14ac:dyDescent="0.25">
      <c r="A213" s="3" t="s">
        <v>45</v>
      </c>
      <c r="B213" s="3" t="s">
        <v>192</v>
      </c>
      <c r="C213" s="3">
        <v>32.723039999999997</v>
      </c>
      <c r="D213" s="3">
        <v>-99.297150000000002</v>
      </c>
      <c r="E213" s="3" t="s">
        <v>325</v>
      </c>
      <c r="F213" s="3" t="s">
        <v>854</v>
      </c>
      <c r="G213" s="3">
        <v>813</v>
      </c>
      <c r="H213" s="3" t="s">
        <v>13</v>
      </c>
      <c r="I213" s="3" t="s">
        <v>333</v>
      </c>
      <c r="J213" s="10" t="s">
        <v>336</v>
      </c>
      <c r="K213" t="str">
        <f t="shared" si="37"/>
        <v/>
      </c>
      <c r="L213" t="str">
        <f t="shared" si="38"/>
        <v/>
      </c>
      <c r="M213" t="str">
        <f t="shared" si="39"/>
        <v/>
      </c>
      <c r="N213" t="str">
        <f t="shared" si="40"/>
        <v/>
      </c>
      <c r="O213" t="str">
        <f t="shared" si="41"/>
        <v/>
      </c>
    </row>
    <row r="214" spans="1:15" x14ac:dyDescent="0.25">
      <c r="A214" s="3" t="s">
        <v>46</v>
      </c>
      <c r="B214" s="3" t="s">
        <v>193</v>
      </c>
      <c r="C214" s="3">
        <v>32.450789999999998</v>
      </c>
      <c r="D214" s="3">
        <v>-98.692670000000007</v>
      </c>
      <c r="E214" s="3" t="s">
        <v>325</v>
      </c>
      <c r="F214" s="3" t="s">
        <v>855</v>
      </c>
      <c r="G214" s="3">
        <v>1939</v>
      </c>
      <c r="H214" s="3" t="s">
        <v>13</v>
      </c>
      <c r="I214" s="3" t="s">
        <v>333</v>
      </c>
      <c r="J214" s="10" t="s">
        <v>336</v>
      </c>
      <c r="K214" t="str">
        <f t="shared" si="37"/>
        <v/>
      </c>
      <c r="L214" t="str">
        <f t="shared" si="38"/>
        <v/>
      </c>
      <c r="M214" t="str">
        <f t="shared" si="39"/>
        <v/>
      </c>
      <c r="N214" t="str">
        <f t="shared" si="40"/>
        <v/>
      </c>
      <c r="O214" t="str">
        <f t="shared" si="41"/>
        <v/>
      </c>
    </row>
    <row r="215" spans="1:15" x14ac:dyDescent="0.25">
      <c r="A215" s="3" t="s">
        <v>47</v>
      </c>
      <c r="B215" s="3" t="s">
        <v>194</v>
      </c>
      <c r="C215" s="3">
        <v>33.987867000000001</v>
      </c>
      <c r="D215" s="3">
        <v>-98.221357999999995</v>
      </c>
      <c r="E215" s="3" t="s">
        <v>325</v>
      </c>
      <c r="F215" s="3" t="s">
        <v>856</v>
      </c>
      <c r="G215" s="3">
        <v>1824</v>
      </c>
      <c r="H215" s="3" t="s">
        <v>13</v>
      </c>
      <c r="I215" s="3" t="s">
        <v>333</v>
      </c>
      <c r="J215" s="10" t="s">
        <v>336</v>
      </c>
      <c r="K215" t="str">
        <f t="shared" si="37"/>
        <v/>
      </c>
      <c r="L215" t="str">
        <f t="shared" si="38"/>
        <v/>
      </c>
      <c r="M215" t="str">
        <f t="shared" si="39"/>
        <v/>
      </c>
      <c r="N215" t="str">
        <f t="shared" si="40"/>
        <v/>
      </c>
      <c r="O215" t="str">
        <f t="shared" si="41"/>
        <v/>
      </c>
    </row>
    <row r="216" spans="1:15" x14ac:dyDescent="0.25">
      <c r="A216" s="3" t="s">
        <v>48</v>
      </c>
      <c r="B216" s="3" t="s">
        <v>195</v>
      </c>
      <c r="C216" s="3">
        <v>33.595176000000002</v>
      </c>
      <c r="D216" s="3">
        <v>-98.625553999999994</v>
      </c>
      <c r="E216" s="3" t="s">
        <v>325</v>
      </c>
      <c r="F216" s="3" t="s">
        <v>857</v>
      </c>
      <c r="G216" s="3">
        <v>154</v>
      </c>
      <c r="H216" s="3" t="s">
        <v>13</v>
      </c>
      <c r="I216" s="3" t="s">
        <v>333</v>
      </c>
      <c r="J216" s="10" t="s">
        <v>336</v>
      </c>
      <c r="K216" t="str">
        <f t="shared" si="37"/>
        <v/>
      </c>
      <c r="L216" t="str">
        <f t="shared" si="38"/>
        <v/>
      </c>
      <c r="M216" t="str">
        <f t="shared" si="39"/>
        <v/>
      </c>
      <c r="N216" t="str">
        <f t="shared" si="40"/>
        <v/>
      </c>
      <c r="O216" t="str">
        <f t="shared" si="41"/>
        <v/>
      </c>
    </row>
    <row r="217" spans="1:15" x14ac:dyDescent="0.25">
      <c r="A217" s="3" t="s">
        <v>49</v>
      </c>
      <c r="B217" s="3" t="s">
        <v>196</v>
      </c>
      <c r="C217" s="3">
        <v>32.707261000000003</v>
      </c>
      <c r="D217" s="3">
        <v>-99.524603999999997</v>
      </c>
      <c r="E217" s="3" t="s">
        <v>326</v>
      </c>
      <c r="F217" s="3" t="s">
        <v>858</v>
      </c>
      <c r="G217" s="3">
        <v>3724</v>
      </c>
      <c r="H217" s="3" t="s">
        <v>14</v>
      </c>
      <c r="I217" s="3" t="s">
        <v>333</v>
      </c>
      <c r="J217" s="10" t="s">
        <v>336</v>
      </c>
      <c r="K217" t="str">
        <f t="shared" si="37"/>
        <v/>
      </c>
      <c r="L217" t="str">
        <f t="shared" si="38"/>
        <v/>
      </c>
      <c r="M217" t="str">
        <f t="shared" si="39"/>
        <v/>
      </c>
      <c r="N217" t="str">
        <f t="shared" si="40"/>
        <v/>
      </c>
      <c r="O217" t="str">
        <f t="shared" si="41"/>
        <v/>
      </c>
    </row>
    <row r="218" spans="1:15" x14ac:dyDescent="0.25">
      <c r="A218" s="3" t="s">
        <v>50</v>
      </c>
      <c r="B218" s="3" t="s">
        <v>197</v>
      </c>
      <c r="C218" s="3">
        <v>32.717604999999999</v>
      </c>
      <c r="D218" s="3">
        <v>-99.301117000000005</v>
      </c>
      <c r="E218" s="3" t="s">
        <v>325</v>
      </c>
      <c r="F218" s="3" t="s">
        <v>859</v>
      </c>
      <c r="G218" s="3">
        <v>121</v>
      </c>
      <c r="H218" s="3" t="s">
        <v>14</v>
      </c>
      <c r="I218" s="3" t="s">
        <v>333</v>
      </c>
      <c r="J218" s="10" t="s">
        <v>336</v>
      </c>
      <c r="K218" t="str">
        <f t="shared" si="37"/>
        <v/>
      </c>
      <c r="L218" t="str">
        <f t="shared" si="38"/>
        <v/>
      </c>
      <c r="M218" t="str">
        <f t="shared" si="39"/>
        <v/>
      </c>
      <c r="N218" t="str">
        <f t="shared" si="40"/>
        <v/>
      </c>
      <c r="O218" t="str">
        <f t="shared" si="41"/>
        <v/>
      </c>
    </row>
    <row r="219" spans="1:15" x14ac:dyDescent="0.25">
      <c r="A219" s="3" t="s">
        <v>51</v>
      </c>
      <c r="B219" s="3" t="s">
        <v>198</v>
      </c>
      <c r="C219" s="3">
        <v>34.103990000000003</v>
      </c>
      <c r="D219" s="3">
        <v>-98.563500000000005</v>
      </c>
      <c r="E219" s="3" t="s">
        <v>325</v>
      </c>
      <c r="F219" s="3" t="s">
        <v>860</v>
      </c>
      <c r="G219" s="3">
        <v>196</v>
      </c>
      <c r="H219" s="3" t="s">
        <v>14</v>
      </c>
      <c r="I219" s="3" t="s">
        <v>333</v>
      </c>
      <c r="J219" s="10" t="s">
        <v>336</v>
      </c>
      <c r="K219" t="str">
        <f t="shared" si="37"/>
        <v/>
      </c>
      <c r="L219" t="str">
        <f t="shared" si="38"/>
        <v/>
      </c>
      <c r="M219" t="str">
        <f t="shared" si="39"/>
        <v/>
      </c>
      <c r="N219" t="str">
        <f t="shared" si="40"/>
        <v/>
      </c>
      <c r="O219" t="str">
        <f t="shared" si="41"/>
        <v/>
      </c>
    </row>
    <row r="220" spans="1:15" x14ac:dyDescent="0.25">
      <c r="A220" s="3" t="s">
        <v>52</v>
      </c>
      <c r="B220" s="3" t="s">
        <v>199</v>
      </c>
      <c r="C220" s="3">
        <v>33.78566</v>
      </c>
      <c r="D220" s="3">
        <v>-97.708219999999997</v>
      </c>
      <c r="E220" s="3" t="s">
        <v>327</v>
      </c>
      <c r="F220" s="3" t="s">
        <v>861</v>
      </c>
      <c r="G220" s="3">
        <v>28</v>
      </c>
      <c r="H220" s="3" t="s">
        <v>14</v>
      </c>
      <c r="I220" s="3" t="s">
        <v>333</v>
      </c>
      <c r="J220" s="10" t="s">
        <v>336</v>
      </c>
      <c r="K220" t="str">
        <f t="shared" si="37"/>
        <v/>
      </c>
      <c r="L220" t="str">
        <f t="shared" si="38"/>
        <v/>
      </c>
      <c r="M220" t="str">
        <f t="shared" si="39"/>
        <v/>
      </c>
      <c r="N220" t="str">
        <f t="shared" si="40"/>
        <v/>
      </c>
      <c r="O220" t="str">
        <f t="shared" si="41"/>
        <v/>
      </c>
    </row>
    <row r="221" spans="1:15" x14ac:dyDescent="0.25">
      <c r="A221" s="3" t="s">
        <v>53</v>
      </c>
      <c r="B221" s="3" t="s">
        <v>200</v>
      </c>
      <c r="C221" s="3">
        <v>35.602960000000003</v>
      </c>
      <c r="D221" s="3">
        <v>-101.40602</v>
      </c>
      <c r="E221" s="3" t="s">
        <v>325</v>
      </c>
      <c r="F221" s="3" t="s">
        <v>862</v>
      </c>
      <c r="G221" s="3">
        <v>2715</v>
      </c>
      <c r="H221" s="3" t="s">
        <v>13</v>
      </c>
      <c r="I221" s="3" t="s">
        <v>333</v>
      </c>
      <c r="J221" s="10" t="s">
        <v>337</v>
      </c>
      <c r="K221" t="str">
        <f t="shared" si="37"/>
        <v/>
      </c>
      <c r="L221" t="str">
        <f t="shared" si="38"/>
        <v/>
      </c>
      <c r="M221" t="str">
        <f t="shared" si="39"/>
        <v/>
      </c>
      <c r="N221" t="str">
        <f t="shared" si="40"/>
        <v/>
      </c>
      <c r="O221" t="str">
        <f t="shared" si="41"/>
        <v/>
      </c>
    </row>
    <row r="222" spans="1:15" x14ac:dyDescent="0.25">
      <c r="A222" s="3" t="s">
        <v>54</v>
      </c>
      <c r="B222" s="3" t="s">
        <v>201</v>
      </c>
      <c r="C222" s="3">
        <v>35.791939999999997</v>
      </c>
      <c r="D222" s="3">
        <v>-101.43077</v>
      </c>
      <c r="E222" s="3" t="s">
        <v>325</v>
      </c>
      <c r="F222" s="3" t="s">
        <v>863</v>
      </c>
      <c r="G222" s="3">
        <v>420</v>
      </c>
      <c r="H222" s="3" t="s">
        <v>13</v>
      </c>
      <c r="I222" s="3" t="s">
        <v>333</v>
      </c>
      <c r="J222" s="10" t="s">
        <v>337</v>
      </c>
      <c r="K222" t="str">
        <f t="shared" si="37"/>
        <v/>
      </c>
      <c r="L222" t="str">
        <f t="shared" si="38"/>
        <v/>
      </c>
      <c r="M222" t="str">
        <f t="shared" si="39"/>
        <v/>
      </c>
      <c r="N222" t="str">
        <f t="shared" si="40"/>
        <v/>
      </c>
      <c r="O222" t="str">
        <f t="shared" si="41"/>
        <v/>
      </c>
    </row>
    <row r="223" spans="1:15" x14ac:dyDescent="0.25">
      <c r="A223" s="3" t="s">
        <v>55</v>
      </c>
      <c r="B223" s="3" t="s">
        <v>202</v>
      </c>
      <c r="C223" s="3">
        <v>33.588683000000003</v>
      </c>
      <c r="D223" s="3">
        <v>-101.88478600000001</v>
      </c>
      <c r="E223" s="3" t="s">
        <v>327</v>
      </c>
      <c r="F223" s="3" t="s">
        <v>864</v>
      </c>
      <c r="G223" s="3">
        <v>321</v>
      </c>
      <c r="H223" s="3" t="s">
        <v>14</v>
      </c>
      <c r="I223" s="3" t="s">
        <v>333</v>
      </c>
      <c r="J223" s="10" t="s">
        <v>337</v>
      </c>
      <c r="K223" t="str">
        <f t="shared" si="37"/>
        <v/>
      </c>
      <c r="L223" t="str">
        <f t="shared" si="38"/>
        <v/>
      </c>
      <c r="M223" t="str">
        <f t="shared" si="39"/>
        <v/>
      </c>
      <c r="N223" t="str">
        <f t="shared" si="40"/>
        <v/>
      </c>
      <c r="O223" t="str">
        <f t="shared" si="41"/>
        <v/>
      </c>
    </row>
    <row r="224" spans="1:15" x14ac:dyDescent="0.25">
      <c r="A224" s="3" t="s">
        <v>56</v>
      </c>
      <c r="B224" s="3" t="s">
        <v>203</v>
      </c>
      <c r="C224" s="3">
        <v>32.333705000000002</v>
      </c>
      <c r="D224" s="3">
        <v>-102.657965</v>
      </c>
      <c r="E224" s="3" t="s">
        <v>325</v>
      </c>
      <c r="F224" s="3" t="s">
        <v>865</v>
      </c>
      <c r="G224" s="3">
        <v>347</v>
      </c>
      <c r="H224" s="3" t="s">
        <v>13</v>
      </c>
      <c r="I224" s="3" t="s">
        <v>333</v>
      </c>
      <c r="J224" s="10" t="s">
        <v>338</v>
      </c>
      <c r="K224" t="str">
        <f t="shared" si="37"/>
        <v/>
      </c>
      <c r="L224" t="str">
        <f t="shared" si="38"/>
        <v/>
      </c>
      <c r="M224" t="str">
        <f t="shared" si="39"/>
        <v/>
      </c>
      <c r="N224" t="str">
        <f t="shared" si="40"/>
        <v/>
      </c>
      <c r="O224" t="str">
        <f t="shared" si="41"/>
        <v/>
      </c>
    </row>
    <row r="225" spans="1:15" x14ac:dyDescent="0.25">
      <c r="A225" s="3" t="s">
        <v>57</v>
      </c>
      <c r="B225" s="3" t="s">
        <v>204</v>
      </c>
      <c r="C225" s="3">
        <v>30.911280000000001</v>
      </c>
      <c r="D225" s="3">
        <v>-101.44647000000001</v>
      </c>
      <c r="E225" s="3" t="s">
        <v>325</v>
      </c>
      <c r="F225" s="3" t="s">
        <v>866</v>
      </c>
      <c r="G225" s="3">
        <v>273</v>
      </c>
      <c r="H225" s="3" t="s">
        <v>13</v>
      </c>
      <c r="I225" s="3" t="s">
        <v>333</v>
      </c>
      <c r="J225" s="10" t="s">
        <v>338</v>
      </c>
      <c r="K225" t="str">
        <f t="shared" si="37"/>
        <v/>
      </c>
      <c r="L225" t="str">
        <f t="shared" si="38"/>
        <v/>
      </c>
      <c r="M225" t="str">
        <f t="shared" si="39"/>
        <v/>
      </c>
      <c r="N225" t="str">
        <f t="shared" si="40"/>
        <v/>
      </c>
      <c r="O225" t="str">
        <f t="shared" si="41"/>
        <v/>
      </c>
    </row>
    <row r="226" spans="1:15" x14ac:dyDescent="0.25">
      <c r="A226" s="3" t="s">
        <v>58</v>
      </c>
      <c r="B226" s="3" t="s">
        <v>205</v>
      </c>
      <c r="C226" s="3">
        <v>33.049346999999997</v>
      </c>
      <c r="D226" s="3">
        <v>-102.81853</v>
      </c>
      <c r="E226" s="3" t="s">
        <v>325</v>
      </c>
      <c r="F226" s="3" t="s">
        <v>867</v>
      </c>
      <c r="G226" s="3">
        <v>1790</v>
      </c>
      <c r="H226" s="3" t="s">
        <v>13</v>
      </c>
      <c r="I226" s="3" t="s">
        <v>333</v>
      </c>
      <c r="J226" s="10" t="s">
        <v>338</v>
      </c>
      <c r="K226" t="str">
        <f t="shared" si="37"/>
        <v/>
      </c>
      <c r="L226" t="str">
        <f t="shared" si="38"/>
        <v/>
      </c>
      <c r="M226" t="str">
        <f t="shared" si="39"/>
        <v/>
      </c>
      <c r="N226" t="str">
        <f t="shared" si="40"/>
        <v/>
      </c>
      <c r="O226" t="str">
        <f t="shared" si="41"/>
        <v/>
      </c>
    </row>
    <row r="227" spans="1:15" x14ac:dyDescent="0.25">
      <c r="A227" s="3" t="s">
        <v>59</v>
      </c>
      <c r="B227" s="3" t="s">
        <v>206</v>
      </c>
      <c r="C227" s="3">
        <v>32.343020000000003</v>
      </c>
      <c r="D227" s="3">
        <v>-101.06291</v>
      </c>
      <c r="E227" s="3" t="s">
        <v>325</v>
      </c>
      <c r="F227" s="3" t="s">
        <v>868</v>
      </c>
      <c r="G227" s="3">
        <v>231</v>
      </c>
      <c r="H227" s="3" t="s">
        <v>13</v>
      </c>
      <c r="I227" s="3" t="s">
        <v>333</v>
      </c>
      <c r="J227" s="10" t="s">
        <v>338</v>
      </c>
      <c r="K227" t="str">
        <f t="shared" si="37"/>
        <v/>
      </c>
      <c r="L227" t="str">
        <f t="shared" si="38"/>
        <v/>
      </c>
      <c r="M227" t="str">
        <f t="shared" si="39"/>
        <v/>
      </c>
      <c r="N227" t="str">
        <f t="shared" si="40"/>
        <v/>
      </c>
      <c r="O227" t="str">
        <f t="shared" si="41"/>
        <v/>
      </c>
    </row>
    <row r="228" spans="1:15" x14ac:dyDescent="0.25">
      <c r="A228" s="3" t="s">
        <v>60</v>
      </c>
      <c r="B228" s="3" t="s">
        <v>207</v>
      </c>
      <c r="C228" s="3">
        <v>32.085850000000001</v>
      </c>
      <c r="D228" s="3">
        <v>-101.39187</v>
      </c>
      <c r="E228" s="3" t="s">
        <v>325</v>
      </c>
      <c r="F228" s="3" t="s">
        <v>869</v>
      </c>
      <c r="G228" s="3">
        <v>252</v>
      </c>
      <c r="H228" s="3" t="s">
        <v>13</v>
      </c>
      <c r="I228" s="3" t="s">
        <v>333</v>
      </c>
      <c r="J228" s="10" t="s">
        <v>338</v>
      </c>
      <c r="K228" t="str">
        <f t="shared" si="37"/>
        <v/>
      </c>
      <c r="L228" t="str">
        <f t="shared" si="38"/>
        <v/>
      </c>
      <c r="M228" t="str">
        <f t="shared" si="39"/>
        <v/>
      </c>
      <c r="N228" t="str">
        <f t="shared" si="40"/>
        <v/>
      </c>
      <c r="O228" t="str">
        <f t="shared" si="41"/>
        <v/>
      </c>
    </row>
    <row r="229" spans="1:15" x14ac:dyDescent="0.25">
      <c r="A229" s="3" t="s">
        <v>61</v>
      </c>
      <c r="B229" s="3" t="s">
        <v>208</v>
      </c>
      <c r="C229" s="3">
        <v>31.153220000000001</v>
      </c>
      <c r="D229" s="3">
        <v>-102.06504</v>
      </c>
      <c r="E229" s="3" t="s">
        <v>325</v>
      </c>
      <c r="F229" s="3" t="s">
        <v>870</v>
      </c>
      <c r="G229" s="3">
        <v>310</v>
      </c>
      <c r="H229" s="3" t="s">
        <v>13</v>
      </c>
      <c r="I229" s="3" t="s">
        <v>333</v>
      </c>
      <c r="J229" s="10" t="s">
        <v>338</v>
      </c>
      <c r="K229" t="str">
        <f t="shared" si="37"/>
        <v/>
      </c>
      <c r="L229" t="str">
        <f t="shared" si="38"/>
        <v/>
      </c>
      <c r="M229" t="str">
        <f t="shared" si="39"/>
        <v/>
      </c>
      <c r="N229" t="str">
        <f t="shared" si="40"/>
        <v/>
      </c>
      <c r="O229" t="str">
        <f t="shared" si="41"/>
        <v/>
      </c>
    </row>
    <row r="230" spans="1:15" x14ac:dyDescent="0.25">
      <c r="A230" s="3" t="s">
        <v>62</v>
      </c>
      <c r="B230" s="3" t="s">
        <v>209</v>
      </c>
      <c r="C230" s="3">
        <v>31.225079999999998</v>
      </c>
      <c r="D230" s="3">
        <v>-101.69253999999999</v>
      </c>
      <c r="E230" s="3" t="s">
        <v>325</v>
      </c>
      <c r="F230" s="3" t="s">
        <v>871</v>
      </c>
      <c r="G230" s="3">
        <v>2042</v>
      </c>
      <c r="H230" s="3" t="s">
        <v>13</v>
      </c>
      <c r="I230" s="3" t="s">
        <v>333</v>
      </c>
      <c r="J230" s="10" t="s">
        <v>338</v>
      </c>
      <c r="K230" t="str">
        <f t="shared" si="37"/>
        <v/>
      </c>
      <c r="L230" t="str">
        <f t="shared" si="38"/>
        <v/>
      </c>
      <c r="M230" t="str">
        <f t="shared" si="39"/>
        <v/>
      </c>
      <c r="N230" t="str">
        <f t="shared" si="40"/>
        <v/>
      </c>
      <c r="O230" t="str">
        <f t="shared" si="41"/>
        <v/>
      </c>
    </row>
    <row r="231" spans="1:15" x14ac:dyDescent="0.25">
      <c r="A231" s="3" t="s">
        <v>63</v>
      </c>
      <c r="B231" s="3" t="s">
        <v>210</v>
      </c>
      <c r="C231" s="3">
        <v>31.283639999999998</v>
      </c>
      <c r="D231" s="3">
        <v>-102.0454</v>
      </c>
      <c r="E231" s="3" t="s">
        <v>325</v>
      </c>
      <c r="F231" s="3" t="s">
        <v>872</v>
      </c>
      <c r="G231" s="3">
        <v>306</v>
      </c>
      <c r="H231" s="3" t="s">
        <v>13</v>
      </c>
      <c r="I231" s="3" t="s">
        <v>333</v>
      </c>
      <c r="J231" s="10" t="s">
        <v>338</v>
      </c>
      <c r="K231" t="str">
        <f t="shared" si="37"/>
        <v/>
      </c>
      <c r="L231" t="str">
        <f t="shared" si="38"/>
        <v/>
      </c>
      <c r="M231" t="str">
        <f t="shared" si="39"/>
        <v/>
      </c>
      <c r="N231" t="str">
        <f t="shared" si="40"/>
        <v/>
      </c>
      <c r="O231" t="str">
        <f t="shared" si="41"/>
        <v/>
      </c>
    </row>
    <row r="232" spans="1:15" x14ac:dyDescent="0.25">
      <c r="A232" s="3" t="s">
        <v>64</v>
      </c>
      <c r="B232" s="3" t="s">
        <v>211</v>
      </c>
      <c r="C232" s="3">
        <v>31.756046999999999</v>
      </c>
      <c r="D232" s="3">
        <v>-103.15655700000001</v>
      </c>
      <c r="E232" s="3" t="s">
        <v>325</v>
      </c>
      <c r="F232" s="3" t="s">
        <v>873</v>
      </c>
      <c r="G232" s="3">
        <v>383</v>
      </c>
      <c r="H232" s="3" t="s">
        <v>13</v>
      </c>
      <c r="I232" s="3" t="s">
        <v>333</v>
      </c>
      <c r="J232" s="10" t="s">
        <v>338</v>
      </c>
      <c r="K232" t="str">
        <f t="shared" si="37"/>
        <v/>
      </c>
      <c r="L232" t="str">
        <f t="shared" si="38"/>
        <v/>
      </c>
      <c r="M232" t="str">
        <f t="shared" si="39"/>
        <v/>
      </c>
      <c r="N232" t="str">
        <f t="shared" si="40"/>
        <v/>
      </c>
      <c r="O232" t="str">
        <f t="shared" si="41"/>
        <v/>
      </c>
    </row>
    <row r="233" spans="1:15" x14ac:dyDescent="0.25">
      <c r="A233" s="3" t="s">
        <v>65</v>
      </c>
      <c r="B233" s="3" t="s">
        <v>212</v>
      </c>
      <c r="C233" s="3">
        <v>31.503322000000001</v>
      </c>
      <c r="D233" s="3">
        <v>-102.357607</v>
      </c>
      <c r="E233" s="3" t="s">
        <v>325</v>
      </c>
      <c r="F233" s="3" t="s">
        <v>874</v>
      </c>
      <c r="G233" s="3">
        <v>326</v>
      </c>
      <c r="H233" s="3" t="s">
        <v>13</v>
      </c>
      <c r="I233" s="3" t="s">
        <v>333</v>
      </c>
      <c r="J233" s="10" t="s">
        <v>338</v>
      </c>
      <c r="K233" t="str">
        <f t="shared" si="37"/>
        <v/>
      </c>
      <c r="L233" t="str">
        <f t="shared" si="38"/>
        <v/>
      </c>
      <c r="M233" t="str">
        <f t="shared" si="39"/>
        <v/>
      </c>
      <c r="N233" t="str">
        <f t="shared" si="40"/>
        <v/>
      </c>
      <c r="O233" t="str">
        <f t="shared" si="41"/>
        <v/>
      </c>
    </row>
    <row r="234" spans="1:15" x14ac:dyDescent="0.25">
      <c r="A234" s="3" t="s">
        <v>66</v>
      </c>
      <c r="B234" s="3" t="s">
        <v>213</v>
      </c>
      <c r="C234" s="3">
        <v>32.070742000000003</v>
      </c>
      <c r="D234" s="3">
        <v>-100.664539</v>
      </c>
      <c r="E234" s="3" t="s">
        <v>325</v>
      </c>
      <c r="F234" s="3" t="s">
        <v>875</v>
      </c>
      <c r="G234" s="3">
        <v>199</v>
      </c>
      <c r="H234" s="3" t="s">
        <v>13</v>
      </c>
      <c r="I234" s="3" t="s">
        <v>333</v>
      </c>
      <c r="J234" s="10" t="s">
        <v>338</v>
      </c>
      <c r="K234" t="str">
        <f t="shared" si="37"/>
        <v/>
      </c>
      <c r="L234" t="str">
        <f t="shared" si="38"/>
        <v/>
      </c>
      <c r="M234" t="str">
        <f t="shared" si="39"/>
        <v/>
      </c>
      <c r="N234" t="str">
        <f t="shared" si="40"/>
        <v/>
      </c>
      <c r="O234" t="str">
        <f t="shared" si="41"/>
        <v/>
      </c>
    </row>
    <row r="235" spans="1:15" x14ac:dyDescent="0.25">
      <c r="A235" s="3" t="s">
        <v>67</v>
      </c>
      <c r="B235" s="3" t="s">
        <v>214</v>
      </c>
      <c r="C235" s="3">
        <v>31.720738999999998</v>
      </c>
      <c r="D235" s="3">
        <v>-102.626065</v>
      </c>
      <c r="E235" s="3" t="s">
        <v>325</v>
      </c>
      <c r="F235" s="3" t="s">
        <v>876</v>
      </c>
      <c r="G235" s="3">
        <v>345</v>
      </c>
      <c r="H235" s="3" t="s">
        <v>13</v>
      </c>
      <c r="I235" s="3" t="s">
        <v>333</v>
      </c>
      <c r="J235" s="10" t="s">
        <v>338</v>
      </c>
      <c r="K235" t="str">
        <f t="shared" si="37"/>
        <v/>
      </c>
      <c r="L235" t="str">
        <f t="shared" si="38"/>
        <v/>
      </c>
      <c r="M235" t="str">
        <f t="shared" si="39"/>
        <v/>
      </c>
      <c r="N235" t="str">
        <f t="shared" si="40"/>
        <v/>
      </c>
      <c r="O235" t="str">
        <f t="shared" si="41"/>
        <v/>
      </c>
    </row>
    <row r="236" spans="1:15" x14ac:dyDescent="0.25">
      <c r="A236" s="3" t="s">
        <v>68</v>
      </c>
      <c r="B236" s="3" t="s">
        <v>215</v>
      </c>
      <c r="C236" s="3">
        <v>31.971934000000001</v>
      </c>
      <c r="D236" s="3">
        <v>-102.08625499999999</v>
      </c>
      <c r="E236" s="3" t="s">
        <v>325</v>
      </c>
      <c r="F236" s="3" t="s">
        <v>877</v>
      </c>
      <c r="G236" s="3">
        <v>304</v>
      </c>
      <c r="H236" s="3" t="s">
        <v>14</v>
      </c>
      <c r="I236" s="3" t="s">
        <v>333</v>
      </c>
      <c r="J236" s="10" t="s">
        <v>338</v>
      </c>
      <c r="K236" t="str">
        <f t="shared" si="37"/>
        <v/>
      </c>
      <c r="L236" t="str">
        <f t="shared" si="38"/>
        <v/>
      </c>
      <c r="M236" t="str">
        <f t="shared" si="39"/>
        <v/>
      </c>
      <c r="N236" t="str">
        <f t="shared" si="40"/>
        <v/>
      </c>
      <c r="O236" t="str">
        <f t="shared" si="41"/>
        <v/>
      </c>
    </row>
    <row r="237" spans="1:15" x14ac:dyDescent="0.25">
      <c r="A237" s="3" t="s">
        <v>69</v>
      </c>
      <c r="B237" s="3" t="s">
        <v>216</v>
      </c>
      <c r="C237" s="3">
        <v>30.263238999999999</v>
      </c>
      <c r="D237" s="3">
        <v>-94.607778999999994</v>
      </c>
      <c r="E237" s="3" t="s">
        <v>325</v>
      </c>
      <c r="F237" s="3" t="s">
        <v>878</v>
      </c>
      <c r="G237" s="3">
        <v>843</v>
      </c>
      <c r="H237" s="3" t="s">
        <v>13</v>
      </c>
      <c r="I237" s="3" t="s">
        <v>333</v>
      </c>
      <c r="J237" s="10" t="s">
        <v>339</v>
      </c>
      <c r="K237" t="str">
        <f t="shared" si="37"/>
        <v/>
      </c>
      <c r="L237" t="str">
        <f t="shared" si="38"/>
        <v/>
      </c>
      <c r="M237" t="str">
        <f t="shared" si="39"/>
        <v/>
      </c>
      <c r="N237" t="str">
        <f t="shared" si="40"/>
        <v/>
      </c>
      <c r="O237" t="str">
        <f t="shared" si="41"/>
        <v/>
      </c>
    </row>
    <row r="238" spans="1:15" x14ac:dyDescent="0.25">
      <c r="A238" s="3" t="s">
        <v>70</v>
      </c>
      <c r="B238" s="3" t="s">
        <v>217</v>
      </c>
      <c r="C238" s="3">
        <v>29.681287000000001</v>
      </c>
      <c r="D238" s="3">
        <v>-97.650272000000001</v>
      </c>
      <c r="E238" s="3" t="s">
        <v>325</v>
      </c>
      <c r="F238" s="3" t="s">
        <v>879</v>
      </c>
      <c r="G238" s="3">
        <v>950</v>
      </c>
      <c r="H238" s="3" t="s">
        <v>13</v>
      </c>
      <c r="I238" s="3" t="s">
        <v>333</v>
      </c>
      <c r="J238" s="10" t="s">
        <v>340</v>
      </c>
      <c r="K238" t="str">
        <f t="shared" si="37"/>
        <v/>
      </c>
      <c r="L238" t="str">
        <f t="shared" si="38"/>
        <v/>
      </c>
      <c r="M238" t="str">
        <f t="shared" si="39"/>
        <v/>
      </c>
      <c r="N238" t="str">
        <f t="shared" si="40"/>
        <v/>
      </c>
      <c r="O238" t="str">
        <f t="shared" si="41"/>
        <v/>
      </c>
    </row>
    <row r="239" spans="1:15" x14ac:dyDescent="0.25">
      <c r="A239" s="3" t="s">
        <v>71</v>
      </c>
      <c r="B239" s="3" t="s">
        <v>218</v>
      </c>
      <c r="C239" s="3">
        <v>28.291519999999998</v>
      </c>
      <c r="D239" s="3">
        <v>-97.278104999999996</v>
      </c>
      <c r="E239" s="3" t="s">
        <v>325</v>
      </c>
      <c r="F239" s="3" t="s">
        <v>880</v>
      </c>
      <c r="G239" s="3">
        <v>2834</v>
      </c>
      <c r="H239" s="3" t="s">
        <v>13</v>
      </c>
      <c r="I239" s="3" t="s">
        <v>333</v>
      </c>
      <c r="J239" s="10" t="s">
        <v>340</v>
      </c>
      <c r="K239" t="str">
        <f t="shared" si="37"/>
        <v/>
      </c>
      <c r="L239" t="str">
        <f t="shared" si="38"/>
        <v/>
      </c>
      <c r="M239" t="str">
        <f t="shared" si="39"/>
        <v/>
      </c>
      <c r="N239" t="str">
        <f t="shared" si="40"/>
        <v/>
      </c>
      <c r="O239" t="str">
        <f t="shared" si="41"/>
        <v/>
      </c>
    </row>
    <row r="240" spans="1:15" x14ac:dyDescent="0.25">
      <c r="A240" s="3" t="s">
        <v>72</v>
      </c>
      <c r="B240" s="3" t="s">
        <v>219</v>
      </c>
      <c r="C240" s="3">
        <v>27.443923999999999</v>
      </c>
      <c r="D240" s="3">
        <v>-99.000998999999993</v>
      </c>
      <c r="E240" s="3" t="s">
        <v>325</v>
      </c>
      <c r="F240" s="3" t="s">
        <v>881</v>
      </c>
      <c r="G240" s="3">
        <v>2222</v>
      </c>
      <c r="H240" s="3" t="s">
        <v>14</v>
      </c>
      <c r="I240" s="3" t="s">
        <v>333</v>
      </c>
      <c r="J240" s="10" t="s">
        <v>340</v>
      </c>
      <c r="K240" t="str">
        <f t="shared" si="37"/>
        <v/>
      </c>
      <c r="L240" t="str">
        <f t="shared" si="38"/>
        <v/>
      </c>
      <c r="M240" t="str">
        <f t="shared" si="39"/>
        <v/>
      </c>
      <c r="N240" t="str">
        <f t="shared" si="40"/>
        <v/>
      </c>
      <c r="O240" t="str">
        <f t="shared" si="41"/>
        <v/>
      </c>
    </row>
    <row r="241" spans="1:15" x14ac:dyDescent="0.25">
      <c r="A241" s="3" t="s">
        <v>73</v>
      </c>
      <c r="B241" s="3" t="s">
        <v>220</v>
      </c>
      <c r="C241" s="3">
        <v>30.012944000000001</v>
      </c>
      <c r="D241" s="3">
        <v>-94.076200999999998</v>
      </c>
      <c r="E241" s="3" t="s">
        <v>325</v>
      </c>
      <c r="F241" s="3" t="s">
        <v>882</v>
      </c>
      <c r="G241" s="3">
        <v>2849</v>
      </c>
      <c r="H241" s="3" t="s">
        <v>13</v>
      </c>
      <c r="I241" s="3" t="s">
        <v>333</v>
      </c>
      <c r="J241" s="10" t="s">
        <v>341</v>
      </c>
      <c r="K241" t="str">
        <f t="shared" si="37"/>
        <v/>
      </c>
      <c r="L241" t="str">
        <f t="shared" si="38"/>
        <v/>
      </c>
      <c r="M241" t="str">
        <f t="shared" si="39"/>
        <v/>
      </c>
      <c r="N241" t="str">
        <f t="shared" si="40"/>
        <v/>
      </c>
      <c r="O241" t="str">
        <f t="shared" si="41"/>
        <v/>
      </c>
    </row>
    <row r="242" spans="1:15" x14ac:dyDescent="0.25">
      <c r="A242" s="3" t="s">
        <v>74</v>
      </c>
      <c r="B242" s="3" t="s">
        <v>221</v>
      </c>
      <c r="C242" s="3">
        <v>30.077226</v>
      </c>
      <c r="D242" s="3">
        <v>-93.860131999999993</v>
      </c>
      <c r="E242" s="3" t="s">
        <v>325</v>
      </c>
      <c r="F242" s="3" t="s">
        <v>883</v>
      </c>
      <c r="G242" s="3">
        <v>1060</v>
      </c>
      <c r="H242" s="3" t="s">
        <v>13</v>
      </c>
      <c r="I242" s="3" t="s">
        <v>333</v>
      </c>
      <c r="J242" s="10" t="s">
        <v>341</v>
      </c>
      <c r="K242" t="str">
        <f t="shared" si="37"/>
        <v/>
      </c>
      <c r="L242" t="str">
        <f t="shared" si="38"/>
        <v/>
      </c>
      <c r="M242" t="str">
        <f t="shared" si="39"/>
        <v/>
      </c>
      <c r="N242" t="str">
        <f t="shared" si="40"/>
        <v/>
      </c>
      <c r="O242" t="str">
        <f t="shared" si="41"/>
        <v/>
      </c>
    </row>
    <row r="243" spans="1:15" x14ac:dyDescent="0.25">
      <c r="A243" s="3" t="s">
        <v>75</v>
      </c>
      <c r="B243" s="3" t="s">
        <v>222</v>
      </c>
      <c r="C243" s="3">
        <v>30.328250000000001</v>
      </c>
      <c r="D243" s="3">
        <v>-97.749830000000003</v>
      </c>
      <c r="E243" s="3" t="s">
        <v>328</v>
      </c>
      <c r="F243" s="3" t="s">
        <v>884</v>
      </c>
      <c r="G243" s="3">
        <v>945</v>
      </c>
      <c r="H243" s="3" t="s">
        <v>16</v>
      </c>
      <c r="I243" s="3" t="s">
        <v>342</v>
      </c>
      <c r="J243" s="10" t="s">
        <v>334</v>
      </c>
      <c r="K243" t="str">
        <f t="shared" si="37"/>
        <v/>
      </c>
      <c r="L243" t="str">
        <f t="shared" si="38"/>
        <v/>
      </c>
      <c r="M243" t="str">
        <f t="shared" si="39"/>
        <v/>
      </c>
      <c r="N243" t="str">
        <f t="shared" si="40"/>
        <v/>
      </c>
      <c r="O243" t="str">
        <f t="shared" si="41"/>
        <v/>
      </c>
    </row>
    <row r="244" spans="1:15" x14ac:dyDescent="0.25">
      <c r="A244" s="3" t="s">
        <v>76</v>
      </c>
      <c r="B244" s="3" t="s">
        <v>223</v>
      </c>
      <c r="C244" s="3">
        <v>32.153356000000002</v>
      </c>
      <c r="D244" s="3">
        <v>-94.799397999999997</v>
      </c>
      <c r="E244" s="3" t="s">
        <v>325</v>
      </c>
      <c r="F244" s="3" t="s">
        <v>885</v>
      </c>
      <c r="G244" s="3">
        <v>745</v>
      </c>
      <c r="H244" s="3" t="s">
        <v>16</v>
      </c>
      <c r="I244" s="3" t="s">
        <v>342</v>
      </c>
      <c r="J244" s="10" t="s">
        <v>334</v>
      </c>
      <c r="K244" t="str">
        <f t="shared" si="37"/>
        <v/>
      </c>
      <c r="L244" t="str">
        <f t="shared" si="38"/>
        <v/>
      </c>
      <c r="M244" t="str">
        <f t="shared" si="39"/>
        <v/>
      </c>
      <c r="N244" t="str">
        <f t="shared" si="40"/>
        <v/>
      </c>
      <c r="O244" t="str">
        <f t="shared" si="41"/>
        <v/>
      </c>
    </row>
    <row r="245" spans="1:15" x14ac:dyDescent="0.25">
      <c r="A245" s="3" t="s">
        <v>77</v>
      </c>
      <c r="B245" s="3" t="s">
        <v>224</v>
      </c>
      <c r="C245" s="3">
        <v>31.674810000000001</v>
      </c>
      <c r="D245" s="3">
        <v>-96.481970000000004</v>
      </c>
      <c r="E245" s="3" t="s">
        <v>325</v>
      </c>
      <c r="F245" s="3" t="s">
        <v>886</v>
      </c>
      <c r="G245" s="3">
        <v>1117</v>
      </c>
      <c r="H245" s="3" t="s">
        <v>16</v>
      </c>
      <c r="I245" s="3" t="s">
        <v>342</v>
      </c>
      <c r="J245" s="10" t="s">
        <v>334</v>
      </c>
      <c r="K245" t="str">
        <f t="shared" si="37"/>
        <v/>
      </c>
      <c r="L245" t="str">
        <f t="shared" si="38"/>
        <v/>
      </c>
      <c r="M245" t="str">
        <f t="shared" si="39"/>
        <v/>
      </c>
      <c r="N245" t="str">
        <f t="shared" si="40"/>
        <v/>
      </c>
      <c r="O245" t="str">
        <f t="shared" si="41"/>
        <v/>
      </c>
    </row>
    <row r="246" spans="1:15" x14ac:dyDescent="0.25">
      <c r="A246" s="3" t="s">
        <v>78</v>
      </c>
      <c r="B246" s="3" t="s">
        <v>225</v>
      </c>
      <c r="C246" s="3">
        <v>31.691867999999999</v>
      </c>
      <c r="D246" s="3">
        <v>-96.479651000000004</v>
      </c>
      <c r="E246" s="3" t="s">
        <v>329</v>
      </c>
      <c r="F246" s="3" t="s">
        <v>887</v>
      </c>
      <c r="G246" s="3">
        <v>1160</v>
      </c>
      <c r="H246" s="3" t="s">
        <v>16</v>
      </c>
      <c r="I246" s="3" t="s">
        <v>342</v>
      </c>
      <c r="J246" s="10" t="s">
        <v>334</v>
      </c>
      <c r="K246" t="str">
        <f t="shared" si="37"/>
        <v/>
      </c>
      <c r="L246" t="str">
        <f t="shared" si="38"/>
        <v/>
      </c>
      <c r="M246" t="str">
        <f t="shared" si="39"/>
        <v/>
      </c>
      <c r="N246" t="str">
        <f t="shared" si="40"/>
        <v/>
      </c>
      <c r="O246" t="str">
        <f t="shared" si="41"/>
        <v/>
      </c>
    </row>
    <row r="247" spans="1:15" x14ac:dyDescent="0.25">
      <c r="A247" s="3" t="s">
        <v>79</v>
      </c>
      <c r="B247" s="3" t="s">
        <v>226</v>
      </c>
      <c r="C247" s="3">
        <v>31.565629999999999</v>
      </c>
      <c r="D247" s="3">
        <v>-94.481949999999998</v>
      </c>
      <c r="E247" s="3" t="s">
        <v>329</v>
      </c>
      <c r="F247" s="3" t="s">
        <v>888</v>
      </c>
      <c r="G247" s="3">
        <v>271</v>
      </c>
      <c r="H247" s="3" t="s">
        <v>16</v>
      </c>
      <c r="I247" s="3" t="s">
        <v>342</v>
      </c>
      <c r="J247" s="10" t="s">
        <v>334</v>
      </c>
      <c r="K247" t="str">
        <f t="shared" si="37"/>
        <v/>
      </c>
      <c r="L247" t="str">
        <f t="shared" si="38"/>
        <v/>
      </c>
      <c r="M247" t="str">
        <f t="shared" si="39"/>
        <v/>
      </c>
      <c r="N247" t="str">
        <f t="shared" si="40"/>
        <v/>
      </c>
      <c r="O247" t="str">
        <f t="shared" si="41"/>
        <v/>
      </c>
    </row>
    <row r="248" spans="1:15" x14ac:dyDescent="0.25">
      <c r="A248" s="3" t="s">
        <v>80</v>
      </c>
      <c r="B248" s="3" t="s">
        <v>227</v>
      </c>
      <c r="C248" s="3">
        <v>32.867862000000002</v>
      </c>
      <c r="D248" s="3">
        <v>-96.781346999999997</v>
      </c>
      <c r="E248" s="3" t="s">
        <v>325</v>
      </c>
      <c r="F248" s="3" t="s">
        <v>889</v>
      </c>
      <c r="G248" s="3">
        <v>3258</v>
      </c>
      <c r="H248" s="3" t="s">
        <v>16</v>
      </c>
      <c r="I248" s="3" t="s">
        <v>342</v>
      </c>
      <c r="J248" s="10" t="s">
        <v>334</v>
      </c>
      <c r="K248" t="str">
        <f t="shared" si="37"/>
        <v/>
      </c>
      <c r="L248" t="str">
        <f t="shared" si="38"/>
        <v/>
      </c>
      <c r="M248" t="str">
        <f t="shared" si="39"/>
        <v/>
      </c>
      <c r="N248" t="str">
        <f t="shared" si="40"/>
        <v/>
      </c>
      <c r="O248" t="str">
        <f t="shared" si="41"/>
        <v/>
      </c>
    </row>
    <row r="249" spans="1:15" x14ac:dyDescent="0.25">
      <c r="A249" s="3" t="s">
        <v>81</v>
      </c>
      <c r="B249" s="3" t="s">
        <v>228</v>
      </c>
      <c r="C249" s="3">
        <v>31.633389999999999</v>
      </c>
      <c r="D249" s="3">
        <v>-96.557559999999995</v>
      </c>
      <c r="E249" s="3" t="s">
        <v>325</v>
      </c>
      <c r="F249" s="3" t="s">
        <v>890</v>
      </c>
      <c r="G249" s="3">
        <v>1635</v>
      </c>
      <c r="H249" s="3" t="s">
        <v>16</v>
      </c>
      <c r="I249" s="3" t="s">
        <v>342</v>
      </c>
      <c r="J249" s="10" t="s">
        <v>334</v>
      </c>
      <c r="K249" t="str">
        <f t="shared" si="37"/>
        <v/>
      </c>
      <c r="L249" t="str">
        <f t="shared" si="38"/>
        <v/>
      </c>
      <c r="M249" t="str">
        <f t="shared" si="39"/>
        <v/>
      </c>
      <c r="N249" t="str">
        <f t="shared" si="40"/>
        <v/>
      </c>
      <c r="O249" t="str">
        <f t="shared" si="41"/>
        <v/>
      </c>
    </row>
    <row r="250" spans="1:15" x14ac:dyDescent="0.25">
      <c r="A250" s="3" t="s">
        <v>82</v>
      </c>
      <c r="B250" s="3" t="s">
        <v>229</v>
      </c>
      <c r="C250" s="3">
        <v>32.091780999999997</v>
      </c>
      <c r="D250" s="3">
        <v>-96.476635999999999</v>
      </c>
      <c r="E250" s="3" t="s">
        <v>325</v>
      </c>
      <c r="F250" s="3" t="s">
        <v>891</v>
      </c>
      <c r="G250" s="3">
        <v>378</v>
      </c>
      <c r="H250" s="3" t="s">
        <v>16</v>
      </c>
      <c r="I250" s="3" t="s">
        <v>342</v>
      </c>
      <c r="J250" s="10" t="s">
        <v>334</v>
      </c>
      <c r="K250" t="str">
        <f t="shared" si="37"/>
        <v/>
      </c>
      <c r="L250" t="str">
        <f t="shared" si="38"/>
        <v/>
      </c>
      <c r="M250" t="str">
        <f t="shared" si="39"/>
        <v/>
      </c>
      <c r="N250" t="str">
        <f t="shared" si="40"/>
        <v/>
      </c>
      <c r="O250" t="str">
        <f t="shared" si="41"/>
        <v/>
      </c>
    </row>
    <row r="251" spans="1:15" x14ac:dyDescent="0.25">
      <c r="A251" s="3" t="s">
        <v>83</v>
      </c>
      <c r="B251" s="3" t="s">
        <v>230</v>
      </c>
      <c r="C251" s="3">
        <v>32.203420000000001</v>
      </c>
      <c r="D251" s="3">
        <v>-95.854789999999994</v>
      </c>
      <c r="E251" s="3" t="s">
        <v>325</v>
      </c>
      <c r="F251" s="3" t="s">
        <v>892</v>
      </c>
      <c r="G251" s="3">
        <v>166</v>
      </c>
      <c r="H251" s="3" t="s">
        <v>16</v>
      </c>
      <c r="I251" s="3" t="s">
        <v>342</v>
      </c>
      <c r="J251" s="10" t="s">
        <v>334</v>
      </c>
      <c r="K251" t="str">
        <f t="shared" si="37"/>
        <v/>
      </c>
      <c r="L251" t="str">
        <f t="shared" si="38"/>
        <v/>
      </c>
      <c r="M251" t="str">
        <f t="shared" si="39"/>
        <v/>
      </c>
      <c r="N251" t="str">
        <f t="shared" si="40"/>
        <v/>
      </c>
      <c r="O251" t="str">
        <f t="shared" si="41"/>
        <v/>
      </c>
    </row>
    <row r="252" spans="1:15" x14ac:dyDescent="0.25">
      <c r="A252" s="3" t="s">
        <v>84</v>
      </c>
      <c r="B252" s="3" t="s">
        <v>231</v>
      </c>
      <c r="C252" s="3">
        <v>32.388342999999999</v>
      </c>
      <c r="D252" s="3">
        <v>-94.876947999999999</v>
      </c>
      <c r="E252" s="3" t="s">
        <v>325</v>
      </c>
      <c r="F252" s="3" t="s">
        <v>893</v>
      </c>
      <c r="G252" s="3">
        <v>441</v>
      </c>
      <c r="H252" s="3" t="s">
        <v>16</v>
      </c>
      <c r="I252" s="3" t="s">
        <v>342</v>
      </c>
      <c r="J252" s="10" t="s">
        <v>334</v>
      </c>
      <c r="K252" t="str">
        <f t="shared" si="37"/>
        <v/>
      </c>
      <c r="L252" t="str">
        <f t="shared" si="38"/>
        <v/>
      </c>
      <c r="M252" t="str">
        <f t="shared" si="39"/>
        <v/>
      </c>
      <c r="N252" t="str">
        <f t="shared" si="40"/>
        <v/>
      </c>
      <c r="O252" t="str">
        <f t="shared" si="41"/>
        <v/>
      </c>
    </row>
    <row r="253" spans="1:15" x14ac:dyDescent="0.25">
      <c r="A253" s="3" t="s">
        <v>85</v>
      </c>
      <c r="B253" s="3" t="s">
        <v>232</v>
      </c>
      <c r="C253" s="3">
        <v>31.685980000000001</v>
      </c>
      <c r="D253" s="3">
        <v>-96.423339999999996</v>
      </c>
      <c r="E253" s="3" t="s">
        <v>330</v>
      </c>
      <c r="F253" s="3" t="s">
        <v>894</v>
      </c>
      <c r="G253" s="3">
        <v>774</v>
      </c>
      <c r="H253" s="3" t="s">
        <v>18</v>
      </c>
      <c r="I253" s="3" t="s">
        <v>342</v>
      </c>
      <c r="J253" s="10" t="s">
        <v>334</v>
      </c>
      <c r="K253" t="str">
        <f t="shared" si="37"/>
        <v/>
      </c>
      <c r="L253" t="str">
        <f t="shared" si="38"/>
        <v/>
      </c>
      <c r="M253" t="str">
        <f t="shared" si="39"/>
        <v/>
      </c>
      <c r="N253" t="str">
        <f t="shared" si="40"/>
        <v/>
      </c>
      <c r="O253" t="str">
        <f t="shared" si="41"/>
        <v/>
      </c>
    </row>
    <row r="254" spans="1:15" x14ac:dyDescent="0.25">
      <c r="A254" s="3" t="s">
        <v>86</v>
      </c>
      <c r="B254" s="3" t="s">
        <v>233</v>
      </c>
      <c r="C254" s="3">
        <v>32.23921</v>
      </c>
      <c r="D254" s="3">
        <v>-94.941980000000001</v>
      </c>
      <c r="E254" s="3" t="s">
        <v>325</v>
      </c>
      <c r="F254" s="3" t="s">
        <v>895</v>
      </c>
      <c r="G254" s="3">
        <v>1939</v>
      </c>
      <c r="H254" s="3" t="s">
        <v>18</v>
      </c>
      <c r="I254" s="3" t="s">
        <v>342</v>
      </c>
      <c r="J254" s="10" t="s">
        <v>334</v>
      </c>
      <c r="K254" t="str">
        <f t="shared" si="37"/>
        <v/>
      </c>
      <c r="L254" t="str">
        <f t="shared" si="38"/>
        <v/>
      </c>
      <c r="M254" t="str">
        <f t="shared" si="39"/>
        <v/>
      </c>
      <c r="N254" t="str">
        <f t="shared" si="40"/>
        <v/>
      </c>
      <c r="O254" t="str">
        <f t="shared" si="41"/>
        <v/>
      </c>
    </row>
    <row r="255" spans="1:15" x14ac:dyDescent="0.25">
      <c r="A255" s="3" t="s">
        <v>87</v>
      </c>
      <c r="B255" s="3" t="s">
        <v>234</v>
      </c>
      <c r="C255" s="3">
        <v>32.776339999999998</v>
      </c>
      <c r="D255" s="3">
        <v>-96.804010000000005</v>
      </c>
      <c r="E255" s="3" t="s">
        <v>325</v>
      </c>
      <c r="F255" s="3" t="s">
        <v>896</v>
      </c>
      <c r="G255" s="3">
        <v>3188</v>
      </c>
      <c r="H255" s="3" t="s">
        <v>19</v>
      </c>
      <c r="I255" s="3" t="s">
        <v>342</v>
      </c>
      <c r="J255" s="10" t="s">
        <v>334</v>
      </c>
      <c r="K255" t="str">
        <f t="shared" si="37"/>
        <v/>
      </c>
      <c r="L255" t="str">
        <f t="shared" si="38"/>
        <v/>
      </c>
      <c r="M255" t="str">
        <f t="shared" si="39"/>
        <v/>
      </c>
      <c r="N255" t="str">
        <f t="shared" si="40"/>
        <v/>
      </c>
      <c r="O255" t="str">
        <f t="shared" si="41"/>
        <v/>
      </c>
    </row>
    <row r="256" spans="1:15" x14ac:dyDescent="0.25">
      <c r="A256" s="3" t="s">
        <v>88</v>
      </c>
      <c r="B256" s="3" t="s">
        <v>235</v>
      </c>
      <c r="C256" s="3">
        <v>32.390749999999997</v>
      </c>
      <c r="D256" s="3">
        <v>-94.869349999999997</v>
      </c>
      <c r="E256" s="3" t="s">
        <v>325</v>
      </c>
      <c r="F256" s="3" t="s">
        <v>897</v>
      </c>
      <c r="G256" s="3">
        <v>743</v>
      </c>
      <c r="H256" s="3" t="s">
        <v>17</v>
      </c>
      <c r="I256" s="3" t="s">
        <v>342</v>
      </c>
      <c r="J256" s="10" t="s">
        <v>334</v>
      </c>
      <c r="K256" t="str">
        <f t="shared" si="37"/>
        <v/>
      </c>
      <c r="L256" t="str">
        <f t="shared" si="38"/>
        <v/>
      </c>
      <c r="M256" t="str">
        <f t="shared" si="39"/>
        <v/>
      </c>
      <c r="N256" t="str">
        <f t="shared" si="40"/>
        <v/>
      </c>
      <c r="O256" t="str">
        <f t="shared" si="41"/>
        <v/>
      </c>
    </row>
    <row r="257" spans="1:15" x14ac:dyDescent="0.25">
      <c r="A257" s="3" t="s">
        <v>89</v>
      </c>
      <c r="B257" s="3" t="s">
        <v>236</v>
      </c>
      <c r="C257" s="3">
        <v>30.619221</v>
      </c>
      <c r="D257" s="3">
        <v>-96.339321999999996</v>
      </c>
      <c r="E257" s="3" t="s">
        <v>325</v>
      </c>
      <c r="F257" s="3" t="s">
        <v>898</v>
      </c>
      <c r="G257" s="3">
        <v>3443</v>
      </c>
      <c r="H257" s="3" t="s">
        <v>17</v>
      </c>
      <c r="I257" s="3" t="s">
        <v>342</v>
      </c>
      <c r="J257" s="10" t="s">
        <v>334</v>
      </c>
      <c r="K257" t="str">
        <f t="shared" si="37"/>
        <v/>
      </c>
      <c r="L257" t="str">
        <f t="shared" si="38"/>
        <v/>
      </c>
      <c r="M257" t="str">
        <f t="shared" si="39"/>
        <v/>
      </c>
      <c r="N257" t="str">
        <f t="shared" si="40"/>
        <v/>
      </c>
      <c r="O257" t="str">
        <f t="shared" si="41"/>
        <v/>
      </c>
    </row>
    <row r="258" spans="1:15" x14ac:dyDescent="0.25">
      <c r="A258" s="3" t="s">
        <v>90</v>
      </c>
      <c r="B258" s="3" t="s">
        <v>237</v>
      </c>
      <c r="C258" s="3">
        <v>32.092661</v>
      </c>
      <c r="D258" s="3">
        <v>-96.463170000000005</v>
      </c>
      <c r="E258" s="3" t="s">
        <v>325</v>
      </c>
      <c r="F258" s="3" t="s">
        <v>899</v>
      </c>
      <c r="G258" s="3">
        <v>1119</v>
      </c>
      <c r="H258" s="3" t="s">
        <v>17</v>
      </c>
      <c r="I258" s="3" t="s">
        <v>342</v>
      </c>
      <c r="J258" s="10" t="s">
        <v>334</v>
      </c>
      <c r="K258" t="str">
        <f t="shared" si="37"/>
        <v/>
      </c>
      <c r="L258" t="str">
        <f t="shared" si="38"/>
        <v/>
      </c>
      <c r="M258" t="str">
        <f t="shared" si="39"/>
        <v/>
      </c>
      <c r="N258" t="str">
        <f t="shared" si="40"/>
        <v/>
      </c>
      <c r="O258" t="str">
        <f t="shared" si="41"/>
        <v/>
      </c>
    </row>
    <row r="259" spans="1:15" x14ac:dyDescent="0.25">
      <c r="A259" s="3" t="s">
        <v>91</v>
      </c>
      <c r="B259" s="3" t="s">
        <v>238</v>
      </c>
      <c r="C259" s="3">
        <v>32.178449999999998</v>
      </c>
      <c r="D259" s="3">
        <v>-94.922529999999995</v>
      </c>
      <c r="E259" s="3" t="s">
        <v>325</v>
      </c>
      <c r="F259" s="3" t="s">
        <v>900</v>
      </c>
      <c r="G259" s="3">
        <v>1236</v>
      </c>
      <c r="H259" s="3" t="s">
        <v>17</v>
      </c>
      <c r="I259" s="3" t="s">
        <v>342</v>
      </c>
      <c r="J259" s="10" t="s">
        <v>334</v>
      </c>
      <c r="K259" t="str">
        <f t="shared" si="37"/>
        <v/>
      </c>
      <c r="L259" t="str">
        <f t="shared" si="38"/>
        <v/>
      </c>
      <c r="M259" t="str">
        <f t="shared" si="39"/>
        <v/>
      </c>
      <c r="N259" t="str">
        <f t="shared" si="40"/>
        <v/>
      </c>
      <c r="O259" t="str">
        <f t="shared" si="41"/>
        <v/>
      </c>
    </row>
    <row r="260" spans="1:15" x14ac:dyDescent="0.25">
      <c r="A260" s="3" t="s">
        <v>92</v>
      </c>
      <c r="B260" s="3" t="s">
        <v>239</v>
      </c>
      <c r="C260" s="3">
        <v>29.762277999999998</v>
      </c>
      <c r="D260" s="3">
        <v>-95.387056999999999</v>
      </c>
      <c r="E260" s="3" t="s">
        <v>331</v>
      </c>
      <c r="F260" s="3" t="s">
        <v>901</v>
      </c>
      <c r="G260" s="3">
        <v>280</v>
      </c>
      <c r="H260" s="3" t="s">
        <v>16</v>
      </c>
      <c r="I260" s="3" t="s">
        <v>342</v>
      </c>
      <c r="J260" s="10" t="s">
        <v>335</v>
      </c>
      <c r="K260" t="str">
        <f t="shared" si="37"/>
        <v/>
      </c>
      <c r="L260" t="str">
        <f t="shared" si="38"/>
        <v/>
      </c>
      <c r="M260" t="str">
        <f t="shared" si="39"/>
        <v/>
      </c>
      <c r="N260" t="str">
        <f t="shared" si="40"/>
        <v/>
      </c>
      <c r="O260" t="str">
        <f t="shared" si="41"/>
        <v/>
      </c>
    </row>
    <row r="261" spans="1:15" x14ac:dyDescent="0.25">
      <c r="A261" s="3" t="s">
        <v>93</v>
      </c>
      <c r="B261" s="3" t="s">
        <v>240</v>
      </c>
      <c r="C261" s="3">
        <v>30.280370000000001</v>
      </c>
      <c r="D261" s="3">
        <v>-95.357860000000002</v>
      </c>
      <c r="E261" s="3" t="s">
        <v>325</v>
      </c>
      <c r="F261" s="3" t="s">
        <v>902</v>
      </c>
      <c r="G261" s="3">
        <v>252</v>
      </c>
      <c r="H261" s="3" t="s">
        <v>18</v>
      </c>
      <c r="I261" s="3" t="s">
        <v>342</v>
      </c>
      <c r="J261" s="10" t="s">
        <v>335</v>
      </c>
      <c r="K261" t="str">
        <f t="shared" si="37"/>
        <v/>
      </c>
      <c r="L261" t="str">
        <f t="shared" si="38"/>
        <v/>
      </c>
      <c r="M261" t="str">
        <f t="shared" si="39"/>
        <v/>
      </c>
      <c r="N261" t="str">
        <f t="shared" si="40"/>
        <v/>
      </c>
      <c r="O261" t="str">
        <f t="shared" si="41"/>
        <v/>
      </c>
    </row>
    <row r="262" spans="1:15" x14ac:dyDescent="0.25">
      <c r="A262" s="3" t="s">
        <v>94</v>
      </c>
      <c r="B262" s="3" t="s">
        <v>241</v>
      </c>
      <c r="C262" s="3">
        <v>32.423900000000003</v>
      </c>
      <c r="D262" s="3">
        <v>-98.697620000000001</v>
      </c>
      <c r="E262" s="3" t="s">
        <v>325</v>
      </c>
      <c r="F262" s="3" t="s">
        <v>903</v>
      </c>
      <c r="G262" s="3">
        <v>773</v>
      </c>
      <c r="H262" s="3" t="s">
        <v>16</v>
      </c>
      <c r="I262" s="3" t="s">
        <v>342</v>
      </c>
      <c r="J262" s="10" t="s">
        <v>336</v>
      </c>
      <c r="K262" t="str">
        <f t="shared" si="37"/>
        <v/>
      </c>
      <c r="L262" t="str">
        <f t="shared" si="38"/>
        <v/>
      </c>
      <c r="M262" t="str">
        <f t="shared" si="39"/>
        <v/>
      </c>
      <c r="N262" t="str">
        <f t="shared" si="40"/>
        <v/>
      </c>
      <c r="O262" t="str">
        <f t="shared" si="41"/>
        <v/>
      </c>
    </row>
    <row r="263" spans="1:15" x14ac:dyDescent="0.25">
      <c r="A263" s="3" t="s">
        <v>95</v>
      </c>
      <c r="B263" s="3" t="s">
        <v>242</v>
      </c>
      <c r="C263" s="3">
        <v>32.540225999999997</v>
      </c>
      <c r="D263" s="3">
        <v>-98.498428000000004</v>
      </c>
      <c r="E263" s="3" t="s">
        <v>325</v>
      </c>
      <c r="F263" s="3" t="s">
        <v>904</v>
      </c>
      <c r="G263" s="3">
        <v>331</v>
      </c>
      <c r="H263" s="3" t="s">
        <v>16</v>
      </c>
      <c r="I263" s="3" t="s">
        <v>342</v>
      </c>
      <c r="J263" s="10" t="s">
        <v>336</v>
      </c>
      <c r="K263" t="str">
        <f t="shared" si="37"/>
        <v/>
      </c>
      <c r="L263" t="str">
        <f t="shared" si="38"/>
        <v/>
      </c>
      <c r="M263" t="str">
        <f t="shared" si="39"/>
        <v/>
      </c>
      <c r="N263" t="str">
        <f t="shared" si="40"/>
        <v/>
      </c>
      <c r="O263" t="str">
        <f t="shared" si="41"/>
        <v/>
      </c>
    </row>
    <row r="264" spans="1:15" x14ac:dyDescent="0.25">
      <c r="A264" s="3" t="s">
        <v>96</v>
      </c>
      <c r="B264" s="3" t="s">
        <v>243</v>
      </c>
      <c r="C264" s="3">
        <v>31.196697</v>
      </c>
      <c r="D264" s="3">
        <v>-98.666095999999996</v>
      </c>
      <c r="E264" s="3" t="s">
        <v>325</v>
      </c>
      <c r="F264" s="3" t="s">
        <v>905</v>
      </c>
      <c r="G264" s="3">
        <v>3194</v>
      </c>
      <c r="H264" s="3" t="s">
        <v>16</v>
      </c>
      <c r="I264" s="3" t="s">
        <v>342</v>
      </c>
      <c r="J264" s="10" t="s">
        <v>336</v>
      </c>
      <c r="K264" t="str">
        <f t="shared" si="37"/>
        <v/>
      </c>
      <c r="L264" t="str">
        <f t="shared" si="38"/>
        <v/>
      </c>
      <c r="M264" t="str">
        <f t="shared" si="39"/>
        <v/>
      </c>
      <c r="N264" t="str">
        <f t="shared" si="40"/>
        <v/>
      </c>
      <c r="O264" t="str">
        <f t="shared" si="41"/>
        <v/>
      </c>
    </row>
    <row r="265" spans="1:15" x14ac:dyDescent="0.25">
      <c r="A265" s="3" t="s">
        <v>97</v>
      </c>
      <c r="B265" s="3" t="s">
        <v>244</v>
      </c>
      <c r="C265" s="3">
        <v>33.479714000000001</v>
      </c>
      <c r="D265" s="3">
        <v>-98.446611000000004</v>
      </c>
      <c r="E265" s="3" t="s">
        <v>325</v>
      </c>
      <c r="F265" s="3" t="s">
        <v>906</v>
      </c>
      <c r="G265" s="3">
        <v>147</v>
      </c>
      <c r="H265" s="3" t="s">
        <v>16</v>
      </c>
      <c r="I265" s="3" t="s">
        <v>342</v>
      </c>
      <c r="J265" s="10" t="s">
        <v>336</v>
      </c>
      <c r="K265" t="str">
        <f t="shared" si="37"/>
        <v/>
      </c>
      <c r="L265" t="str">
        <f t="shared" si="38"/>
        <v/>
      </c>
      <c r="M265" t="str">
        <f t="shared" si="39"/>
        <v/>
      </c>
      <c r="N265" t="str">
        <f t="shared" si="40"/>
        <v/>
      </c>
      <c r="O265" t="str">
        <f t="shared" si="41"/>
        <v/>
      </c>
    </row>
    <row r="266" spans="1:15" x14ac:dyDescent="0.25">
      <c r="A266" s="3" t="s">
        <v>98</v>
      </c>
      <c r="B266" s="3" t="s">
        <v>245</v>
      </c>
      <c r="C266" s="3">
        <v>32.26932</v>
      </c>
      <c r="D266" s="3">
        <v>-98.555999999999997</v>
      </c>
      <c r="E266" s="3" t="s">
        <v>325</v>
      </c>
      <c r="F266" s="3" t="s">
        <v>907</v>
      </c>
      <c r="G266" s="3">
        <v>15</v>
      </c>
      <c r="H266" s="3" t="s">
        <v>19</v>
      </c>
      <c r="I266" s="3" t="s">
        <v>342</v>
      </c>
      <c r="J266" s="10" t="s">
        <v>336</v>
      </c>
      <c r="K266" t="str">
        <f t="shared" ref="K266:K329" si="42">IF(COUNTIF($F$11:$F$125,A266)&gt;0,"Y","")</f>
        <v/>
      </c>
      <c r="L266" t="str">
        <f t="shared" ref="L266:L329" si="43">IF(K266="Y",H266,"")</f>
        <v/>
      </c>
      <c r="M266" t="str">
        <f t="shared" ref="M266:M329" si="44">IF(K266="Y",J266,"")</f>
        <v/>
      </c>
      <c r="N266" t="str">
        <f t="shared" ref="N266:N329" si="45">IF(K266="Y",G266,"")</f>
        <v/>
      </c>
      <c r="O266" t="str">
        <f t="shared" ref="O266:O329" si="46">IF(K266="Y",I266,"")</f>
        <v/>
      </c>
    </row>
    <row r="267" spans="1:15" x14ac:dyDescent="0.25">
      <c r="A267" s="3" t="s">
        <v>99</v>
      </c>
      <c r="B267" s="3" t="s">
        <v>246</v>
      </c>
      <c r="C267" s="3">
        <v>32.723300000000002</v>
      </c>
      <c r="D267" s="3">
        <v>-99.294290000000004</v>
      </c>
      <c r="E267" s="3" t="s">
        <v>325</v>
      </c>
      <c r="F267" s="3" t="s">
        <v>908</v>
      </c>
      <c r="G267" s="3">
        <v>725</v>
      </c>
      <c r="H267" s="3" t="s">
        <v>17</v>
      </c>
      <c r="I267" s="3" t="s">
        <v>342</v>
      </c>
      <c r="J267" s="10" t="s">
        <v>336</v>
      </c>
      <c r="K267" t="str">
        <f t="shared" si="42"/>
        <v/>
      </c>
      <c r="L267" t="str">
        <f t="shared" si="43"/>
        <v/>
      </c>
      <c r="M267" t="str">
        <f t="shared" si="44"/>
        <v/>
      </c>
      <c r="N267" t="str">
        <f t="shared" si="45"/>
        <v/>
      </c>
      <c r="O267" t="str">
        <f t="shared" si="46"/>
        <v/>
      </c>
    </row>
    <row r="268" spans="1:15" x14ac:dyDescent="0.25">
      <c r="A268" s="3" t="s">
        <v>100</v>
      </c>
      <c r="B268" s="3" t="s">
        <v>247</v>
      </c>
      <c r="C268" s="3">
        <v>32.756028999999998</v>
      </c>
      <c r="D268" s="3">
        <v>-98.902760999999998</v>
      </c>
      <c r="E268" s="3" t="s">
        <v>325</v>
      </c>
      <c r="F268" s="3" t="s">
        <v>909</v>
      </c>
      <c r="G268" s="3">
        <v>404</v>
      </c>
      <c r="H268" s="3" t="s">
        <v>17</v>
      </c>
      <c r="I268" s="3" t="s">
        <v>342</v>
      </c>
      <c r="J268" s="10" t="s">
        <v>336</v>
      </c>
      <c r="K268" t="str">
        <f t="shared" si="42"/>
        <v/>
      </c>
      <c r="L268" t="str">
        <f t="shared" si="43"/>
        <v/>
      </c>
      <c r="M268" t="str">
        <f t="shared" si="44"/>
        <v/>
      </c>
      <c r="N268" t="str">
        <f t="shared" si="45"/>
        <v/>
      </c>
      <c r="O268" t="str">
        <f t="shared" si="46"/>
        <v/>
      </c>
    </row>
    <row r="269" spans="1:15" x14ac:dyDescent="0.25">
      <c r="A269" s="3" t="s">
        <v>101</v>
      </c>
      <c r="B269" s="3" t="s">
        <v>248</v>
      </c>
      <c r="C269" s="3">
        <v>27.733416999999999</v>
      </c>
      <c r="D269" s="3">
        <v>-97.367018000000002</v>
      </c>
      <c r="E269" s="3" t="s">
        <v>325</v>
      </c>
      <c r="F269" s="3" t="s">
        <v>910</v>
      </c>
      <c r="G269" s="3">
        <v>771</v>
      </c>
      <c r="H269" s="3" t="s">
        <v>16</v>
      </c>
      <c r="I269" s="3" t="s">
        <v>342</v>
      </c>
      <c r="J269" s="10" t="s">
        <v>337</v>
      </c>
      <c r="K269" t="str">
        <f t="shared" si="42"/>
        <v/>
      </c>
      <c r="L269" t="str">
        <f t="shared" si="43"/>
        <v/>
      </c>
      <c r="M269" t="str">
        <f t="shared" si="44"/>
        <v/>
      </c>
      <c r="N269" t="str">
        <f t="shared" si="45"/>
        <v/>
      </c>
      <c r="O269" t="str">
        <f t="shared" si="46"/>
        <v/>
      </c>
    </row>
    <row r="270" spans="1:15" x14ac:dyDescent="0.25">
      <c r="A270" s="3" t="s">
        <v>102</v>
      </c>
      <c r="B270" s="3" t="s">
        <v>249</v>
      </c>
      <c r="C270" s="3">
        <v>35.675139999999999</v>
      </c>
      <c r="D270" s="3">
        <v>-101.39221000000001</v>
      </c>
      <c r="E270" s="3" t="s">
        <v>325</v>
      </c>
      <c r="F270" s="3" t="s">
        <v>911</v>
      </c>
      <c r="G270" s="3">
        <v>426</v>
      </c>
      <c r="H270" s="3" t="s">
        <v>16</v>
      </c>
      <c r="I270" s="3" t="s">
        <v>342</v>
      </c>
      <c r="J270" s="10" t="s">
        <v>337</v>
      </c>
      <c r="K270" t="str">
        <f t="shared" si="42"/>
        <v/>
      </c>
      <c r="L270" t="str">
        <f t="shared" si="43"/>
        <v/>
      </c>
      <c r="M270" t="str">
        <f t="shared" si="44"/>
        <v/>
      </c>
      <c r="N270" t="str">
        <f t="shared" si="45"/>
        <v/>
      </c>
      <c r="O270" t="str">
        <f t="shared" si="46"/>
        <v/>
      </c>
    </row>
    <row r="271" spans="1:15" x14ac:dyDescent="0.25">
      <c r="A271" s="3" t="s">
        <v>103</v>
      </c>
      <c r="B271" s="3" t="s">
        <v>250</v>
      </c>
      <c r="C271" s="3">
        <v>30.575323000000001</v>
      </c>
      <c r="D271" s="3">
        <v>-97.411207000000005</v>
      </c>
      <c r="E271" s="3" t="s">
        <v>325</v>
      </c>
      <c r="F271" s="3" t="s">
        <v>912</v>
      </c>
      <c r="G271" s="3">
        <v>911</v>
      </c>
      <c r="H271" s="3" t="s">
        <v>16</v>
      </c>
      <c r="I271" s="3" t="s">
        <v>342</v>
      </c>
      <c r="J271" s="10" t="s">
        <v>337</v>
      </c>
      <c r="K271" t="str">
        <f t="shared" si="42"/>
        <v/>
      </c>
      <c r="L271" t="str">
        <f t="shared" si="43"/>
        <v/>
      </c>
      <c r="M271" t="str">
        <f t="shared" si="44"/>
        <v/>
      </c>
      <c r="N271" t="str">
        <f t="shared" si="45"/>
        <v/>
      </c>
      <c r="O271" t="str">
        <f t="shared" si="46"/>
        <v/>
      </c>
    </row>
    <row r="272" spans="1:15" x14ac:dyDescent="0.25">
      <c r="A272" s="3" t="s">
        <v>104</v>
      </c>
      <c r="B272" s="3" t="s">
        <v>251</v>
      </c>
      <c r="C272" s="3">
        <v>35.353096000000001</v>
      </c>
      <c r="D272" s="3">
        <v>-101.37066299999999</v>
      </c>
      <c r="E272" s="3" t="s">
        <v>325</v>
      </c>
      <c r="F272" s="3" t="s">
        <v>913</v>
      </c>
      <c r="G272" s="3">
        <v>403</v>
      </c>
      <c r="H272" s="3" t="s">
        <v>18</v>
      </c>
      <c r="I272" s="3" t="s">
        <v>342</v>
      </c>
      <c r="J272" s="10" t="s">
        <v>337</v>
      </c>
      <c r="K272" t="str">
        <f t="shared" si="42"/>
        <v/>
      </c>
      <c r="L272" t="str">
        <f t="shared" si="43"/>
        <v/>
      </c>
      <c r="M272" t="str">
        <f t="shared" si="44"/>
        <v/>
      </c>
      <c r="N272" t="str">
        <f t="shared" si="45"/>
        <v/>
      </c>
      <c r="O272" t="str">
        <f t="shared" si="46"/>
        <v/>
      </c>
    </row>
    <row r="273" spans="1:15" x14ac:dyDescent="0.25">
      <c r="A273" s="3" t="s">
        <v>105</v>
      </c>
      <c r="B273" s="3" t="s">
        <v>252</v>
      </c>
      <c r="C273" s="3">
        <v>32.964198000000003</v>
      </c>
      <c r="D273" s="3">
        <v>-102.81938</v>
      </c>
      <c r="E273" s="3" t="s">
        <v>325</v>
      </c>
      <c r="F273" s="3" t="s">
        <v>914</v>
      </c>
      <c r="G273" s="3">
        <v>382</v>
      </c>
      <c r="H273" s="3" t="s">
        <v>18</v>
      </c>
      <c r="I273" s="3" t="s">
        <v>342</v>
      </c>
      <c r="J273" s="10" t="s">
        <v>338</v>
      </c>
      <c r="K273" t="str">
        <f t="shared" si="42"/>
        <v/>
      </c>
      <c r="L273" t="str">
        <f t="shared" si="43"/>
        <v/>
      </c>
      <c r="M273" t="str">
        <f t="shared" si="44"/>
        <v/>
      </c>
      <c r="N273" t="str">
        <f t="shared" si="45"/>
        <v/>
      </c>
      <c r="O273" t="str">
        <f t="shared" si="46"/>
        <v/>
      </c>
    </row>
    <row r="274" spans="1:15" x14ac:dyDescent="0.25">
      <c r="A274" s="3" t="s">
        <v>106</v>
      </c>
      <c r="B274" s="3" t="s">
        <v>253</v>
      </c>
      <c r="C274" s="3">
        <v>31.862044999999998</v>
      </c>
      <c r="D274" s="3">
        <v>-102.34671400000001</v>
      </c>
      <c r="E274" s="3" t="s">
        <v>325</v>
      </c>
      <c r="F274" s="3" t="s">
        <v>915</v>
      </c>
      <c r="G274" s="3">
        <v>335</v>
      </c>
      <c r="H274" s="3" t="s">
        <v>18</v>
      </c>
      <c r="I274" s="3" t="s">
        <v>342</v>
      </c>
      <c r="J274" s="10" t="s">
        <v>338</v>
      </c>
      <c r="K274" t="str">
        <f t="shared" si="42"/>
        <v/>
      </c>
      <c r="L274" t="str">
        <f t="shared" si="43"/>
        <v/>
      </c>
      <c r="M274" t="str">
        <f t="shared" si="44"/>
        <v/>
      </c>
      <c r="N274" t="str">
        <f t="shared" si="45"/>
        <v/>
      </c>
      <c r="O274" t="str">
        <f t="shared" si="46"/>
        <v/>
      </c>
    </row>
    <row r="275" spans="1:15" x14ac:dyDescent="0.25">
      <c r="A275" s="3" t="s">
        <v>107</v>
      </c>
      <c r="B275" s="3" t="s">
        <v>254</v>
      </c>
      <c r="C275" s="3">
        <v>31.320489999999999</v>
      </c>
      <c r="D275" s="3">
        <v>-101.94337</v>
      </c>
      <c r="E275" s="3" t="s">
        <v>325</v>
      </c>
      <c r="F275" s="3" t="s">
        <v>916</v>
      </c>
      <c r="G275" s="3">
        <v>619</v>
      </c>
      <c r="H275" s="3" t="s">
        <v>19</v>
      </c>
      <c r="I275" s="3" t="s">
        <v>342</v>
      </c>
      <c r="J275" s="10" t="s">
        <v>338</v>
      </c>
      <c r="K275" t="str">
        <f t="shared" si="42"/>
        <v/>
      </c>
      <c r="L275" t="str">
        <f t="shared" si="43"/>
        <v/>
      </c>
      <c r="M275" t="str">
        <f t="shared" si="44"/>
        <v/>
      </c>
      <c r="N275" t="str">
        <f t="shared" si="45"/>
        <v/>
      </c>
      <c r="O275" t="str">
        <f t="shared" si="46"/>
        <v/>
      </c>
    </row>
    <row r="276" spans="1:15" x14ac:dyDescent="0.25">
      <c r="A276" s="3" t="s">
        <v>108</v>
      </c>
      <c r="B276" s="3" t="s">
        <v>255</v>
      </c>
      <c r="C276" s="3">
        <v>30.12172</v>
      </c>
      <c r="D276" s="3">
        <v>-94.646879999999996</v>
      </c>
      <c r="E276" s="3" t="s">
        <v>325</v>
      </c>
      <c r="F276" s="3" t="s">
        <v>917</v>
      </c>
      <c r="G276" s="3">
        <v>1205</v>
      </c>
      <c r="H276" s="3" t="s">
        <v>18</v>
      </c>
      <c r="I276" s="3" t="s">
        <v>342</v>
      </c>
      <c r="J276" s="10" t="s">
        <v>339</v>
      </c>
      <c r="K276" t="str">
        <f t="shared" si="42"/>
        <v/>
      </c>
      <c r="L276" t="str">
        <f t="shared" si="43"/>
        <v/>
      </c>
      <c r="M276" t="str">
        <f t="shared" si="44"/>
        <v/>
      </c>
      <c r="N276" t="str">
        <f t="shared" si="45"/>
        <v/>
      </c>
      <c r="O276" t="str">
        <f t="shared" si="46"/>
        <v/>
      </c>
    </row>
    <row r="277" spans="1:15" x14ac:dyDescent="0.25">
      <c r="A277" s="3" t="s">
        <v>109</v>
      </c>
      <c r="B277" s="3" t="s">
        <v>256</v>
      </c>
      <c r="C277" s="3">
        <v>30.086390000000002</v>
      </c>
      <c r="D277" s="3">
        <v>-94.103399999999993</v>
      </c>
      <c r="E277" s="3" t="s">
        <v>325</v>
      </c>
      <c r="F277" s="3" t="s">
        <v>918</v>
      </c>
      <c r="G277" s="3">
        <v>1737</v>
      </c>
      <c r="H277" s="3" t="s">
        <v>16</v>
      </c>
      <c r="I277" s="3" t="s">
        <v>342</v>
      </c>
      <c r="J277" s="10" t="s">
        <v>341</v>
      </c>
      <c r="K277" t="str">
        <f t="shared" si="42"/>
        <v/>
      </c>
      <c r="L277" t="str">
        <f t="shared" si="43"/>
        <v/>
      </c>
      <c r="M277" t="str">
        <f t="shared" si="44"/>
        <v/>
      </c>
      <c r="N277" t="str">
        <f t="shared" si="45"/>
        <v/>
      </c>
      <c r="O277" t="str">
        <f t="shared" si="46"/>
        <v/>
      </c>
    </row>
    <row r="278" spans="1:15" x14ac:dyDescent="0.25">
      <c r="A278" s="3" t="s">
        <v>110</v>
      </c>
      <c r="B278" s="3" t="s">
        <v>257</v>
      </c>
      <c r="C278" s="3">
        <v>29.343467</v>
      </c>
      <c r="D278" s="3">
        <v>-98.469841000000002</v>
      </c>
      <c r="E278" s="3" t="s">
        <v>328</v>
      </c>
      <c r="F278" s="3" t="s">
        <v>919</v>
      </c>
      <c r="G278" s="3">
        <v>636</v>
      </c>
      <c r="H278" s="3" t="s">
        <v>16</v>
      </c>
      <c r="I278" s="3" t="s">
        <v>342</v>
      </c>
      <c r="J278" s="10" t="s">
        <v>341</v>
      </c>
      <c r="K278" t="str">
        <f t="shared" si="42"/>
        <v/>
      </c>
      <c r="L278" t="str">
        <f t="shared" si="43"/>
        <v/>
      </c>
      <c r="M278" t="str">
        <f t="shared" si="44"/>
        <v/>
      </c>
      <c r="N278" t="str">
        <f t="shared" si="45"/>
        <v/>
      </c>
      <c r="O278" t="str">
        <f t="shared" si="46"/>
        <v/>
      </c>
    </row>
    <row r="279" spans="1:15" x14ac:dyDescent="0.25">
      <c r="A279" s="3" t="s">
        <v>111</v>
      </c>
      <c r="B279" s="3" t="s">
        <v>258</v>
      </c>
      <c r="C279" s="3">
        <v>30.085933000000001</v>
      </c>
      <c r="D279" s="3">
        <v>-94.099052999999998</v>
      </c>
      <c r="E279" s="3" t="s">
        <v>325</v>
      </c>
      <c r="F279" s="3" t="s">
        <v>920</v>
      </c>
      <c r="G279" s="3">
        <v>684</v>
      </c>
      <c r="H279" s="3" t="s">
        <v>19</v>
      </c>
      <c r="I279" s="3" t="s">
        <v>342</v>
      </c>
      <c r="J279" s="10" t="s">
        <v>341</v>
      </c>
      <c r="K279" t="str">
        <f t="shared" si="42"/>
        <v/>
      </c>
      <c r="L279" t="str">
        <f t="shared" si="43"/>
        <v/>
      </c>
      <c r="M279" t="str">
        <f t="shared" si="44"/>
        <v/>
      </c>
      <c r="N279" t="str">
        <f t="shared" si="45"/>
        <v/>
      </c>
      <c r="O279" t="str">
        <f t="shared" si="46"/>
        <v/>
      </c>
    </row>
    <row r="280" spans="1:15" x14ac:dyDescent="0.25">
      <c r="A280" s="3" t="s">
        <v>112</v>
      </c>
      <c r="B280" s="3" t="s">
        <v>259</v>
      </c>
      <c r="C280" s="3">
        <v>31.473835999999999</v>
      </c>
      <c r="D280" s="3">
        <v>-94.474611999999993</v>
      </c>
      <c r="E280" s="3" t="s">
        <v>325</v>
      </c>
      <c r="F280" s="3" t="s">
        <v>921</v>
      </c>
      <c r="G280" s="3">
        <v>4742</v>
      </c>
      <c r="H280" s="3" t="s">
        <v>20</v>
      </c>
      <c r="I280" s="3" t="s">
        <v>343</v>
      </c>
      <c r="J280" s="10" t="s">
        <v>334</v>
      </c>
      <c r="K280" t="str">
        <f t="shared" si="42"/>
        <v/>
      </c>
      <c r="L280" t="str">
        <f t="shared" si="43"/>
        <v/>
      </c>
      <c r="M280" t="str">
        <f t="shared" si="44"/>
        <v/>
      </c>
      <c r="N280" t="str">
        <f t="shared" si="45"/>
        <v/>
      </c>
      <c r="O280" t="str">
        <f t="shared" si="46"/>
        <v/>
      </c>
    </row>
    <row r="281" spans="1:15" x14ac:dyDescent="0.25">
      <c r="A281" s="3" t="s">
        <v>113</v>
      </c>
      <c r="B281" s="3" t="s">
        <v>260</v>
      </c>
      <c r="C281" s="3">
        <v>31.661629999999999</v>
      </c>
      <c r="D281" s="3">
        <v>-96.499650000000003</v>
      </c>
      <c r="E281" s="3" t="s">
        <v>325</v>
      </c>
      <c r="F281" s="3" t="s">
        <v>922</v>
      </c>
      <c r="G281" s="3">
        <v>1530</v>
      </c>
      <c r="H281" s="3" t="s">
        <v>20</v>
      </c>
      <c r="I281" s="3" t="s">
        <v>343</v>
      </c>
      <c r="J281" s="10" t="s">
        <v>334</v>
      </c>
      <c r="K281" t="str">
        <f t="shared" si="42"/>
        <v/>
      </c>
      <c r="L281" t="str">
        <f t="shared" si="43"/>
        <v/>
      </c>
      <c r="M281" t="str">
        <f t="shared" si="44"/>
        <v/>
      </c>
      <c r="N281" t="str">
        <f t="shared" si="45"/>
        <v/>
      </c>
      <c r="O281" t="str">
        <f t="shared" si="46"/>
        <v/>
      </c>
    </row>
    <row r="282" spans="1:15" x14ac:dyDescent="0.25">
      <c r="A282" s="3" t="s">
        <v>114</v>
      </c>
      <c r="B282" s="3" t="s">
        <v>261</v>
      </c>
      <c r="C282" s="3">
        <v>31.77403</v>
      </c>
      <c r="D282" s="3">
        <v>-96.468609999999998</v>
      </c>
      <c r="E282" s="3" t="s">
        <v>325</v>
      </c>
      <c r="F282" s="3" t="s">
        <v>923</v>
      </c>
      <c r="G282" s="3">
        <v>1533</v>
      </c>
      <c r="H282" s="3" t="s">
        <v>20</v>
      </c>
      <c r="I282" s="3" t="s">
        <v>343</v>
      </c>
      <c r="J282" s="10" t="s">
        <v>334</v>
      </c>
      <c r="K282" t="str">
        <f t="shared" si="42"/>
        <v/>
      </c>
      <c r="L282" t="str">
        <f t="shared" si="43"/>
        <v/>
      </c>
      <c r="M282" t="str">
        <f t="shared" si="44"/>
        <v/>
      </c>
      <c r="N282" t="str">
        <f t="shared" si="45"/>
        <v/>
      </c>
      <c r="O282" t="str">
        <f t="shared" si="46"/>
        <v/>
      </c>
    </row>
    <row r="283" spans="1:15" x14ac:dyDescent="0.25">
      <c r="A283" s="3" t="s">
        <v>115</v>
      </c>
      <c r="B283" s="3" t="s">
        <v>262</v>
      </c>
      <c r="C283" s="3">
        <v>31.477264000000002</v>
      </c>
      <c r="D283" s="3">
        <v>-94.486904999999993</v>
      </c>
      <c r="E283" s="3" t="s">
        <v>325</v>
      </c>
      <c r="F283" s="3" t="s">
        <v>924</v>
      </c>
      <c r="G283" s="3">
        <v>474</v>
      </c>
      <c r="H283" s="3" t="s">
        <v>20</v>
      </c>
      <c r="I283" s="3" t="s">
        <v>343</v>
      </c>
      <c r="J283" s="10" t="s">
        <v>334</v>
      </c>
      <c r="K283" t="str">
        <f t="shared" si="42"/>
        <v/>
      </c>
      <c r="L283" t="str">
        <f t="shared" si="43"/>
        <v/>
      </c>
      <c r="M283" t="str">
        <f t="shared" si="44"/>
        <v/>
      </c>
      <c r="N283" t="str">
        <f t="shared" si="45"/>
        <v/>
      </c>
      <c r="O283" t="str">
        <f t="shared" si="46"/>
        <v/>
      </c>
    </row>
    <row r="284" spans="1:15" x14ac:dyDescent="0.25">
      <c r="A284" s="3" t="s">
        <v>116</v>
      </c>
      <c r="B284" s="3" t="s">
        <v>263</v>
      </c>
      <c r="C284" s="3">
        <v>32.117469999999997</v>
      </c>
      <c r="D284" s="3">
        <v>-96.326329999999999</v>
      </c>
      <c r="E284" s="3" t="s">
        <v>325</v>
      </c>
      <c r="F284" s="3" t="s">
        <v>925</v>
      </c>
      <c r="G284" s="3">
        <v>1696</v>
      </c>
      <c r="H284" s="3" t="s">
        <v>20</v>
      </c>
      <c r="I284" s="3" t="s">
        <v>343</v>
      </c>
      <c r="J284" s="10" t="s">
        <v>334</v>
      </c>
      <c r="K284" t="str">
        <f t="shared" si="42"/>
        <v/>
      </c>
      <c r="L284" t="str">
        <f t="shared" si="43"/>
        <v/>
      </c>
      <c r="M284" t="str">
        <f t="shared" si="44"/>
        <v/>
      </c>
      <c r="N284" t="str">
        <f t="shared" si="45"/>
        <v/>
      </c>
      <c r="O284" t="str">
        <f t="shared" si="46"/>
        <v/>
      </c>
    </row>
    <row r="285" spans="1:15" x14ac:dyDescent="0.25">
      <c r="A285" s="3" t="s">
        <v>117</v>
      </c>
      <c r="B285" s="3" t="s">
        <v>264</v>
      </c>
      <c r="C285" s="3">
        <v>33.365830000000003</v>
      </c>
      <c r="D285" s="3">
        <v>-95.106112999999993</v>
      </c>
      <c r="E285" s="3" t="s">
        <v>325</v>
      </c>
      <c r="F285" s="3" t="s">
        <v>926</v>
      </c>
      <c r="G285" s="3">
        <v>694</v>
      </c>
      <c r="H285" s="3" t="s">
        <v>20</v>
      </c>
      <c r="I285" s="3" t="s">
        <v>343</v>
      </c>
      <c r="J285" s="10" t="s">
        <v>334</v>
      </c>
      <c r="K285" t="str">
        <f t="shared" si="42"/>
        <v/>
      </c>
      <c r="L285" t="str">
        <f t="shared" si="43"/>
        <v/>
      </c>
      <c r="M285" t="str">
        <f t="shared" si="44"/>
        <v/>
      </c>
      <c r="N285" t="str">
        <f t="shared" si="45"/>
        <v/>
      </c>
      <c r="O285" t="str">
        <f t="shared" si="46"/>
        <v/>
      </c>
    </row>
    <row r="286" spans="1:15" x14ac:dyDescent="0.25">
      <c r="A286" s="3" t="s">
        <v>118</v>
      </c>
      <c r="B286" s="3" t="s">
        <v>265</v>
      </c>
      <c r="C286" s="3">
        <v>31.787600000000001</v>
      </c>
      <c r="D286" s="3">
        <v>-96.464290000000005</v>
      </c>
      <c r="E286" s="3" t="s">
        <v>325</v>
      </c>
      <c r="F286" s="3" t="s">
        <v>927</v>
      </c>
      <c r="G286" s="3">
        <v>205</v>
      </c>
      <c r="H286" s="3" t="s">
        <v>20</v>
      </c>
      <c r="I286" s="3" t="s">
        <v>343</v>
      </c>
      <c r="J286" s="10" t="s">
        <v>334</v>
      </c>
      <c r="K286" t="str">
        <f t="shared" si="42"/>
        <v/>
      </c>
      <c r="L286" t="str">
        <f t="shared" si="43"/>
        <v/>
      </c>
      <c r="M286" t="str">
        <f t="shared" si="44"/>
        <v/>
      </c>
      <c r="N286" t="str">
        <f t="shared" si="45"/>
        <v/>
      </c>
      <c r="O286" t="str">
        <f t="shared" si="46"/>
        <v/>
      </c>
    </row>
    <row r="287" spans="1:15" x14ac:dyDescent="0.25">
      <c r="A287" s="3" t="s">
        <v>119</v>
      </c>
      <c r="B287" s="3" t="s">
        <v>266</v>
      </c>
      <c r="C287" s="3">
        <v>28.995940000000001</v>
      </c>
      <c r="D287" s="3">
        <v>-96.138859999999994</v>
      </c>
      <c r="E287" s="3" t="s">
        <v>325</v>
      </c>
      <c r="F287" s="3" t="s">
        <v>928</v>
      </c>
      <c r="G287" s="3">
        <v>1256</v>
      </c>
      <c r="H287" s="3" t="s">
        <v>20</v>
      </c>
      <c r="I287" s="3" t="s">
        <v>343</v>
      </c>
      <c r="J287" s="10" t="s">
        <v>335</v>
      </c>
      <c r="K287" t="str">
        <f t="shared" si="42"/>
        <v/>
      </c>
      <c r="L287" t="str">
        <f t="shared" si="43"/>
        <v/>
      </c>
      <c r="M287" t="str">
        <f t="shared" si="44"/>
        <v/>
      </c>
      <c r="N287" t="str">
        <f t="shared" si="45"/>
        <v/>
      </c>
      <c r="O287" t="str">
        <f t="shared" si="46"/>
        <v/>
      </c>
    </row>
    <row r="288" spans="1:15" x14ac:dyDescent="0.25">
      <c r="A288" s="3" t="s">
        <v>120</v>
      </c>
      <c r="B288" s="3" t="s">
        <v>267</v>
      </c>
      <c r="C288" s="3">
        <v>29.729939999999999</v>
      </c>
      <c r="D288" s="3">
        <v>-94.968919999999997</v>
      </c>
      <c r="E288" s="3" t="s">
        <v>325</v>
      </c>
      <c r="F288" s="3" t="s">
        <v>929</v>
      </c>
      <c r="G288" s="3">
        <v>535</v>
      </c>
      <c r="H288" s="3" t="s">
        <v>20</v>
      </c>
      <c r="I288" s="3" t="s">
        <v>343</v>
      </c>
      <c r="J288" s="10" t="s">
        <v>335</v>
      </c>
      <c r="K288" t="str">
        <f t="shared" si="42"/>
        <v/>
      </c>
      <c r="L288" t="str">
        <f t="shared" si="43"/>
        <v/>
      </c>
      <c r="M288" t="str">
        <f t="shared" si="44"/>
        <v/>
      </c>
      <c r="N288" t="str">
        <f t="shared" si="45"/>
        <v/>
      </c>
      <c r="O288" t="str">
        <f t="shared" si="46"/>
        <v/>
      </c>
    </row>
    <row r="289" spans="1:15" x14ac:dyDescent="0.25">
      <c r="A289" s="3" t="s">
        <v>121</v>
      </c>
      <c r="B289" s="3" t="s">
        <v>268</v>
      </c>
      <c r="C289" s="3">
        <v>30.325626</v>
      </c>
      <c r="D289" s="3">
        <v>-96.511602999999994</v>
      </c>
      <c r="E289" s="3" t="s">
        <v>325</v>
      </c>
      <c r="F289" s="3" t="s">
        <v>930</v>
      </c>
      <c r="G289" s="3">
        <v>321</v>
      </c>
      <c r="H289" s="3" t="s">
        <v>20</v>
      </c>
      <c r="I289" s="3" t="s">
        <v>343</v>
      </c>
      <c r="J289" s="10" t="s">
        <v>335</v>
      </c>
      <c r="K289" t="str">
        <f t="shared" si="42"/>
        <v/>
      </c>
      <c r="L289" t="str">
        <f t="shared" si="43"/>
        <v/>
      </c>
      <c r="M289" t="str">
        <f t="shared" si="44"/>
        <v/>
      </c>
      <c r="N289" t="str">
        <f t="shared" si="45"/>
        <v/>
      </c>
      <c r="O289" t="str">
        <f t="shared" si="46"/>
        <v/>
      </c>
    </row>
    <row r="290" spans="1:15" x14ac:dyDescent="0.25">
      <c r="A290" s="3" t="s">
        <v>122</v>
      </c>
      <c r="B290" s="3" t="s">
        <v>269</v>
      </c>
      <c r="C290" s="3">
        <v>34.091766999999997</v>
      </c>
      <c r="D290" s="3">
        <v>-98.696924999999993</v>
      </c>
      <c r="E290" s="3" t="s">
        <v>325</v>
      </c>
      <c r="F290" s="3" t="s">
        <v>931</v>
      </c>
      <c r="G290" s="3">
        <v>358</v>
      </c>
      <c r="H290" s="3" t="s">
        <v>20</v>
      </c>
      <c r="I290" s="3" t="s">
        <v>343</v>
      </c>
      <c r="J290" s="10" t="s">
        <v>336</v>
      </c>
      <c r="K290" t="str">
        <f t="shared" si="42"/>
        <v/>
      </c>
      <c r="L290" t="str">
        <f t="shared" si="43"/>
        <v/>
      </c>
      <c r="M290" t="str">
        <f t="shared" si="44"/>
        <v/>
      </c>
      <c r="N290" t="str">
        <f t="shared" si="45"/>
        <v/>
      </c>
      <c r="O290" t="str">
        <f t="shared" si="46"/>
        <v/>
      </c>
    </row>
    <row r="291" spans="1:15" x14ac:dyDescent="0.25">
      <c r="A291" s="3" t="s">
        <v>123</v>
      </c>
      <c r="B291" s="3" t="s">
        <v>270</v>
      </c>
      <c r="C291" s="3">
        <v>32.514560000000003</v>
      </c>
      <c r="D291" s="3">
        <v>-98.68638</v>
      </c>
      <c r="E291" s="3" t="s">
        <v>325</v>
      </c>
      <c r="F291" s="3" t="s">
        <v>932</v>
      </c>
      <c r="G291" s="3">
        <v>524</v>
      </c>
      <c r="H291" s="3" t="s">
        <v>20</v>
      </c>
      <c r="I291" s="3" t="s">
        <v>343</v>
      </c>
      <c r="J291" s="10" t="s">
        <v>336</v>
      </c>
      <c r="K291" t="str">
        <f t="shared" si="42"/>
        <v/>
      </c>
      <c r="L291" t="str">
        <f t="shared" si="43"/>
        <v/>
      </c>
      <c r="M291" t="str">
        <f t="shared" si="44"/>
        <v/>
      </c>
      <c r="N291" t="str">
        <f t="shared" si="45"/>
        <v/>
      </c>
      <c r="O291" t="str">
        <f t="shared" si="46"/>
        <v/>
      </c>
    </row>
    <row r="292" spans="1:15" x14ac:dyDescent="0.25">
      <c r="A292" s="3" t="s">
        <v>124</v>
      </c>
      <c r="B292" s="3" t="s">
        <v>271</v>
      </c>
      <c r="C292" s="3">
        <v>34.100990000000003</v>
      </c>
      <c r="D292" s="3">
        <v>-98.547550000000001</v>
      </c>
      <c r="E292" s="3" t="s">
        <v>325</v>
      </c>
      <c r="F292" s="3" t="s">
        <v>933</v>
      </c>
      <c r="G292" s="3">
        <v>355</v>
      </c>
      <c r="H292" s="3" t="s">
        <v>20</v>
      </c>
      <c r="I292" s="3" t="s">
        <v>343</v>
      </c>
      <c r="J292" s="10" t="s">
        <v>336</v>
      </c>
      <c r="K292" t="str">
        <f t="shared" si="42"/>
        <v/>
      </c>
      <c r="L292" t="str">
        <f t="shared" si="43"/>
        <v/>
      </c>
      <c r="M292" t="str">
        <f t="shared" si="44"/>
        <v/>
      </c>
      <c r="N292" t="str">
        <f t="shared" si="45"/>
        <v/>
      </c>
      <c r="O292" t="str">
        <f t="shared" si="46"/>
        <v/>
      </c>
    </row>
    <row r="293" spans="1:15" x14ac:dyDescent="0.25">
      <c r="A293" s="3" t="s">
        <v>125</v>
      </c>
      <c r="B293" s="3" t="s">
        <v>272</v>
      </c>
      <c r="C293" s="3">
        <v>34.096677</v>
      </c>
      <c r="D293" s="3">
        <v>-98.674077999999994</v>
      </c>
      <c r="E293" s="3" t="s">
        <v>325</v>
      </c>
      <c r="F293" s="3" t="s">
        <v>934</v>
      </c>
      <c r="G293" s="3">
        <v>358</v>
      </c>
      <c r="H293" s="3" t="s">
        <v>20</v>
      </c>
      <c r="I293" s="3" t="s">
        <v>343</v>
      </c>
      <c r="J293" s="10" t="s">
        <v>336</v>
      </c>
      <c r="K293" t="str">
        <f t="shared" si="42"/>
        <v/>
      </c>
      <c r="L293" t="str">
        <f t="shared" si="43"/>
        <v/>
      </c>
      <c r="M293" t="str">
        <f t="shared" si="44"/>
        <v/>
      </c>
      <c r="N293" t="str">
        <f t="shared" si="45"/>
        <v/>
      </c>
      <c r="O293" t="str">
        <f t="shared" si="46"/>
        <v/>
      </c>
    </row>
    <row r="294" spans="1:15" x14ac:dyDescent="0.25">
      <c r="A294" s="3" t="s">
        <v>126</v>
      </c>
      <c r="B294" s="3" t="s">
        <v>273</v>
      </c>
      <c r="C294" s="3">
        <v>32.269280000000002</v>
      </c>
      <c r="D294" s="3">
        <v>-98.555109999999999</v>
      </c>
      <c r="E294" s="3" t="s">
        <v>325</v>
      </c>
      <c r="F294" s="3" t="s">
        <v>935</v>
      </c>
      <c r="G294" s="3">
        <v>443</v>
      </c>
      <c r="H294" s="3" t="s">
        <v>20</v>
      </c>
      <c r="I294" s="3" t="s">
        <v>343</v>
      </c>
      <c r="J294" s="10" t="s">
        <v>336</v>
      </c>
      <c r="K294" t="str">
        <f t="shared" si="42"/>
        <v/>
      </c>
      <c r="L294" t="str">
        <f t="shared" si="43"/>
        <v/>
      </c>
      <c r="M294" t="str">
        <f t="shared" si="44"/>
        <v/>
      </c>
      <c r="N294" t="str">
        <f t="shared" si="45"/>
        <v/>
      </c>
      <c r="O294" t="str">
        <f t="shared" si="46"/>
        <v/>
      </c>
    </row>
    <row r="295" spans="1:15" x14ac:dyDescent="0.25">
      <c r="A295" s="3" t="s">
        <v>127</v>
      </c>
      <c r="B295" s="3" t="s">
        <v>274</v>
      </c>
      <c r="C295" s="3">
        <v>32.960059999999999</v>
      </c>
      <c r="D295" s="3">
        <v>-98.766080000000002</v>
      </c>
      <c r="E295" s="3" t="s">
        <v>325</v>
      </c>
      <c r="F295" s="3" t="s">
        <v>936</v>
      </c>
      <c r="G295" s="3">
        <v>2146</v>
      </c>
      <c r="H295" s="3" t="s">
        <v>20</v>
      </c>
      <c r="I295" s="3" t="s">
        <v>343</v>
      </c>
      <c r="J295" s="10" t="s">
        <v>336</v>
      </c>
      <c r="K295" t="str">
        <f t="shared" si="42"/>
        <v/>
      </c>
      <c r="L295" t="str">
        <f t="shared" si="43"/>
        <v/>
      </c>
      <c r="M295" t="str">
        <f t="shared" si="44"/>
        <v/>
      </c>
      <c r="N295" t="str">
        <f t="shared" si="45"/>
        <v/>
      </c>
      <c r="O295" t="str">
        <f t="shared" si="46"/>
        <v/>
      </c>
    </row>
    <row r="296" spans="1:15" x14ac:dyDescent="0.25">
      <c r="A296" s="3" t="s">
        <v>128</v>
      </c>
      <c r="B296" s="3" t="s">
        <v>275</v>
      </c>
      <c r="C296" s="3">
        <v>32.268520000000002</v>
      </c>
      <c r="D296" s="3">
        <v>-98.551329999999993</v>
      </c>
      <c r="E296" s="3" t="s">
        <v>325</v>
      </c>
      <c r="F296" s="3" t="s">
        <v>937</v>
      </c>
      <c r="G296" s="3">
        <v>363</v>
      </c>
      <c r="H296" s="3" t="s">
        <v>20</v>
      </c>
      <c r="I296" s="3" t="s">
        <v>343</v>
      </c>
      <c r="J296" s="10" t="s">
        <v>336</v>
      </c>
      <c r="K296" t="str">
        <f t="shared" si="42"/>
        <v/>
      </c>
      <c r="L296" t="str">
        <f t="shared" si="43"/>
        <v/>
      </c>
      <c r="M296" t="str">
        <f t="shared" si="44"/>
        <v/>
      </c>
      <c r="N296" t="str">
        <f t="shared" si="45"/>
        <v/>
      </c>
      <c r="O296" t="str">
        <f t="shared" si="46"/>
        <v/>
      </c>
    </row>
    <row r="297" spans="1:15" x14ac:dyDescent="0.25">
      <c r="A297" s="3" t="s">
        <v>129</v>
      </c>
      <c r="B297" s="3" t="s">
        <v>276</v>
      </c>
      <c r="C297" s="3">
        <v>32.541130000000003</v>
      </c>
      <c r="D297" s="3">
        <v>-98.873440000000002</v>
      </c>
      <c r="E297" s="3" t="s">
        <v>325</v>
      </c>
      <c r="F297" s="3" t="s">
        <v>938</v>
      </c>
      <c r="G297" s="3">
        <v>1551</v>
      </c>
      <c r="H297" s="3" t="s">
        <v>20</v>
      </c>
      <c r="I297" s="3" t="s">
        <v>343</v>
      </c>
      <c r="J297" s="10" t="s">
        <v>336</v>
      </c>
      <c r="K297" t="str">
        <f t="shared" si="42"/>
        <v/>
      </c>
      <c r="L297" t="str">
        <f t="shared" si="43"/>
        <v/>
      </c>
      <c r="M297" t="str">
        <f t="shared" si="44"/>
        <v/>
      </c>
      <c r="N297" t="str">
        <f t="shared" si="45"/>
        <v/>
      </c>
      <c r="O297" t="str">
        <f t="shared" si="46"/>
        <v/>
      </c>
    </row>
    <row r="298" spans="1:15" x14ac:dyDescent="0.25">
      <c r="A298" s="3" t="s">
        <v>130</v>
      </c>
      <c r="B298" s="3" t="s">
        <v>277</v>
      </c>
      <c r="C298" s="3">
        <v>32.683039999999998</v>
      </c>
      <c r="D298" s="3">
        <v>-99.131870000000006</v>
      </c>
      <c r="E298" s="3" t="s">
        <v>325</v>
      </c>
      <c r="F298" s="3" t="s">
        <v>939</v>
      </c>
      <c r="G298" s="3">
        <v>4239</v>
      </c>
      <c r="H298" s="3" t="s">
        <v>20</v>
      </c>
      <c r="I298" s="3" t="s">
        <v>343</v>
      </c>
      <c r="J298" s="10" t="s">
        <v>336</v>
      </c>
      <c r="K298" t="str">
        <f t="shared" si="42"/>
        <v/>
      </c>
      <c r="L298" t="str">
        <f t="shared" si="43"/>
        <v/>
      </c>
      <c r="M298" t="str">
        <f t="shared" si="44"/>
        <v/>
      </c>
      <c r="N298" t="str">
        <f t="shared" si="45"/>
        <v/>
      </c>
      <c r="O298" t="str">
        <f t="shared" si="46"/>
        <v/>
      </c>
    </row>
    <row r="299" spans="1:15" x14ac:dyDescent="0.25">
      <c r="A299" s="3" t="s">
        <v>131</v>
      </c>
      <c r="B299" s="3" t="s">
        <v>278</v>
      </c>
      <c r="C299" s="3">
        <v>33.450592</v>
      </c>
      <c r="D299" s="3">
        <v>-98.927442999999997</v>
      </c>
      <c r="E299" s="3" t="s">
        <v>325</v>
      </c>
      <c r="F299" s="3" t="s">
        <v>940</v>
      </c>
      <c r="G299" s="3">
        <v>2584</v>
      </c>
      <c r="H299" s="3" t="s">
        <v>20</v>
      </c>
      <c r="I299" s="3" t="s">
        <v>343</v>
      </c>
      <c r="J299" s="10" t="s">
        <v>336</v>
      </c>
      <c r="K299" t="str">
        <f t="shared" si="42"/>
        <v/>
      </c>
      <c r="L299" t="str">
        <f t="shared" si="43"/>
        <v/>
      </c>
      <c r="M299" t="str">
        <f t="shared" si="44"/>
        <v/>
      </c>
      <c r="N299" t="str">
        <f t="shared" si="45"/>
        <v/>
      </c>
      <c r="O299" t="str">
        <f t="shared" si="46"/>
        <v/>
      </c>
    </row>
    <row r="300" spans="1:15" x14ac:dyDescent="0.25">
      <c r="A300" s="3" t="s">
        <v>132</v>
      </c>
      <c r="B300" s="3" t="s">
        <v>279</v>
      </c>
      <c r="C300" s="3">
        <v>32.423302</v>
      </c>
      <c r="D300" s="3">
        <v>-98.698639</v>
      </c>
      <c r="E300" s="3" t="s">
        <v>325</v>
      </c>
      <c r="F300" s="3" t="s">
        <v>941</v>
      </c>
      <c r="G300" s="3">
        <v>127</v>
      </c>
      <c r="H300" s="3" t="s">
        <v>20</v>
      </c>
      <c r="I300" s="3" t="s">
        <v>343</v>
      </c>
      <c r="J300" s="10" t="s">
        <v>336</v>
      </c>
      <c r="K300" t="str">
        <f t="shared" si="42"/>
        <v/>
      </c>
      <c r="L300" t="str">
        <f t="shared" si="43"/>
        <v/>
      </c>
      <c r="M300" t="str">
        <f t="shared" si="44"/>
        <v/>
      </c>
      <c r="N300" t="str">
        <f t="shared" si="45"/>
        <v/>
      </c>
      <c r="O300" t="str">
        <f t="shared" si="46"/>
        <v/>
      </c>
    </row>
    <row r="301" spans="1:15" x14ac:dyDescent="0.25">
      <c r="A301" s="3" t="s">
        <v>133</v>
      </c>
      <c r="B301" s="3" t="s">
        <v>280</v>
      </c>
      <c r="C301" s="3">
        <v>32.548009999999998</v>
      </c>
      <c r="D301" s="3">
        <v>-99.163780000000003</v>
      </c>
      <c r="E301" s="3" t="s">
        <v>325</v>
      </c>
      <c r="F301" s="3" t="s">
        <v>942</v>
      </c>
      <c r="G301" s="3">
        <v>1385</v>
      </c>
      <c r="H301" s="3" t="s">
        <v>20</v>
      </c>
      <c r="I301" s="3" t="s">
        <v>343</v>
      </c>
      <c r="J301" s="10" t="s">
        <v>336</v>
      </c>
      <c r="K301" t="str">
        <f t="shared" si="42"/>
        <v/>
      </c>
      <c r="L301" t="str">
        <f t="shared" si="43"/>
        <v/>
      </c>
      <c r="M301" t="str">
        <f t="shared" si="44"/>
        <v/>
      </c>
      <c r="N301" t="str">
        <f t="shared" si="45"/>
        <v/>
      </c>
      <c r="O301" t="str">
        <f t="shared" si="46"/>
        <v/>
      </c>
    </row>
    <row r="302" spans="1:15" x14ac:dyDescent="0.25">
      <c r="A302" s="3" t="s">
        <v>134</v>
      </c>
      <c r="B302" s="3" t="s">
        <v>281</v>
      </c>
      <c r="C302" s="3">
        <v>32.648809999999997</v>
      </c>
      <c r="D302" s="3">
        <v>-98.773920000000004</v>
      </c>
      <c r="E302" s="3" t="s">
        <v>325</v>
      </c>
      <c r="F302" s="3" t="s">
        <v>943</v>
      </c>
      <c r="G302" s="3">
        <v>1573</v>
      </c>
      <c r="H302" s="3" t="s">
        <v>20</v>
      </c>
      <c r="I302" s="3" t="s">
        <v>343</v>
      </c>
      <c r="J302" s="10" t="s">
        <v>336</v>
      </c>
      <c r="K302" t="str">
        <f t="shared" si="42"/>
        <v/>
      </c>
      <c r="L302" t="str">
        <f t="shared" si="43"/>
        <v/>
      </c>
      <c r="M302" t="str">
        <f t="shared" si="44"/>
        <v/>
      </c>
      <c r="N302" t="str">
        <f t="shared" si="45"/>
        <v/>
      </c>
      <c r="O302" t="str">
        <f t="shared" si="46"/>
        <v/>
      </c>
    </row>
    <row r="303" spans="1:15" x14ac:dyDescent="0.25">
      <c r="A303" s="3" t="s">
        <v>135</v>
      </c>
      <c r="B303" s="3" t="s">
        <v>282</v>
      </c>
      <c r="C303" s="3">
        <v>32.780056000000002</v>
      </c>
      <c r="D303" s="3">
        <v>-98.709294999999997</v>
      </c>
      <c r="E303" s="3" t="s">
        <v>325</v>
      </c>
      <c r="F303" s="3" t="s">
        <v>944</v>
      </c>
      <c r="G303" s="3">
        <v>171</v>
      </c>
      <c r="H303" s="3" t="s">
        <v>20</v>
      </c>
      <c r="I303" s="3" t="s">
        <v>343</v>
      </c>
      <c r="J303" s="10" t="s">
        <v>336</v>
      </c>
      <c r="K303" t="str">
        <f t="shared" si="42"/>
        <v/>
      </c>
      <c r="L303" t="str">
        <f t="shared" si="43"/>
        <v/>
      </c>
      <c r="M303" t="str">
        <f t="shared" si="44"/>
        <v/>
      </c>
      <c r="N303" t="str">
        <f t="shared" si="45"/>
        <v/>
      </c>
      <c r="O303" t="str">
        <f t="shared" si="46"/>
        <v/>
      </c>
    </row>
    <row r="304" spans="1:15" x14ac:dyDescent="0.25">
      <c r="A304" s="3" t="s">
        <v>136</v>
      </c>
      <c r="B304" s="3" t="s">
        <v>283</v>
      </c>
      <c r="C304" s="3">
        <v>32.420518000000001</v>
      </c>
      <c r="D304" s="3">
        <v>-98.751686000000007</v>
      </c>
      <c r="E304" s="3" t="s">
        <v>325</v>
      </c>
      <c r="F304" s="3" t="s">
        <v>945</v>
      </c>
      <c r="G304" s="3">
        <v>131</v>
      </c>
      <c r="H304" s="3" t="s">
        <v>20</v>
      </c>
      <c r="I304" s="3" t="s">
        <v>343</v>
      </c>
      <c r="J304" s="10" t="s">
        <v>336</v>
      </c>
      <c r="K304" t="str">
        <f t="shared" si="42"/>
        <v/>
      </c>
      <c r="L304" t="str">
        <f t="shared" si="43"/>
        <v/>
      </c>
      <c r="M304" t="str">
        <f t="shared" si="44"/>
        <v/>
      </c>
      <c r="N304" t="str">
        <f t="shared" si="45"/>
        <v/>
      </c>
      <c r="O304" t="str">
        <f t="shared" si="46"/>
        <v/>
      </c>
    </row>
    <row r="305" spans="1:15" x14ac:dyDescent="0.25">
      <c r="A305" s="3" t="s">
        <v>137</v>
      </c>
      <c r="B305" s="3" t="s">
        <v>284</v>
      </c>
      <c r="C305" s="3">
        <v>32.663240000000002</v>
      </c>
      <c r="D305" s="3">
        <v>-98.880250000000004</v>
      </c>
      <c r="E305" s="3" t="s">
        <v>325</v>
      </c>
      <c r="F305" s="3" t="s">
        <v>946</v>
      </c>
      <c r="G305" s="3">
        <v>569</v>
      </c>
      <c r="H305" s="3" t="s">
        <v>20</v>
      </c>
      <c r="I305" s="3" t="s">
        <v>343</v>
      </c>
      <c r="J305" s="10" t="s">
        <v>336</v>
      </c>
      <c r="K305" t="str">
        <f t="shared" si="42"/>
        <v/>
      </c>
      <c r="L305" t="str">
        <f t="shared" si="43"/>
        <v/>
      </c>
      <c r="M305" t="str">
        <f t="shared" si="44"/>
        <v/>
      </c>
      <c r="N305" t="str">
        <f t="shared" si="45"/>
        <v/>
      </c>
      <c r="O305" t="str">
        <f t="shared" si="46"/>
        <v/>
      </c>
    </row>
    <row r="306" spans="1:15" x14ac:dyDescent="0.25">
      <c r="A306" s="3" t="s">
        <v>138</v>
      </c>
      <c r="B306" s="3" t="s">
        <v>285</v>
      </c>
      <c r="C306" s="3">
        <v>32.469700000000003</v>
      </c>
      <c r="D306" s="3">
        <v>-98.679400000000001</v>
      </c>
      <c r="E306" s="3" t="s">
        <v>325</v>
      </c>
      <c r="F306" s="3" t="s">
        <v>947</v>
      </c>
      <c r="G306" s="3">
        <v>130</v>
      </c>
      <c r="H306" s="3" t="s">
        <v>20</v>
      </c>
      <c r="I306" s="3" t="s">
        <v>343</v>
      </c>
      <c r="J306" s="10" t="s">
        <v>336</v>
      </c>
      <c r="K306" t="str">
        <f t="shared" si="42"/>
        <v/>
      </c>
      <c r="L306" t="str">
        <f t="shared" si="43"/>
        <v/>
      </c>
      <c r="M306" t="str">
        <f t="shared" si="44"/>
        <v/>
      </c>
      <c r="N306" t="str">
        <f t="shared" si="45"/>
        <v/>
      </c>
      <c r="O306" t="str">
        <f t="shared" si="46"/>
        <v/>
      </c>
    </row>
    <row r="307" spans="1:15" x14ac:dyDescent="0.25">
      <c r="A307" s="3" t="s">
        <v>139</v>
      </c>
      <c r="B307" s="3" t="s">
        <v>286</v>
      </c>
      <c r="C307" s="3">
        <v>34.096319999999999</v>
      </c>
      <c r="D307" s="3">
        <v>-98.630840000000006</v>
      </c>
      <c r="E307" s="3" t="s">
        <v>325</v>
      </c>
      <c r="F307" s="3" t="s">
        <v>948</v>
      </c>
      <c r="G307" s="3">
        <v>355</v>
      </c>
      <c r="H307" s="3" t="s">
        <v>20</v>
      </c>
      <c r="I307" s="3" t="s">
        <v>343</v>
      </c>
      <c r="J307" s="10" t="s">
        <v>336</v>
      </c>
      <c r="K307" t="str">
        <f t="shared" si="42"/>
        <v/>
      </c>
      <c r="L307" t="str">
        <f t="shared" si="43"/>
        <v/>
      </c>
      <c r="M307" t="str">
        <f t="shared" si="44"/>
        <v/>
      </c>
      <c r="N307" t="str">
        <f t="shared" si="45"/>
        <v/>
      </c>
      <c r="O307" t="str">
        <f t="shared" si="46"/>
        <v/>
      </c>
    </row>
    <row r="308" spans="1:15" x14ac:dyDescent="0.25">
      <c r="A308" s="3" t="s">
        <v>140</v>
      </c>
      <c r="B308" s="3" t="s">
        <v>287</v>
      </c>
      <c r="C308" s="3">
        <v>32.507939999999998</v>
      </c>
      <c r="D308" s="3">
        <v>-98.415809999999993</v>
      </c>
      <c r="E308" s="3" t="s">
        <v>325</v>
      </c>
      <c r="F308" s="3" t="s">
        <v>949</v>
      </c>
      <c r="G308" s="3">
        <v>2765</v>
      </c>
      <c r="H308" s="3" t="s">
        <v>20</v>
      </c>
      <c r="I308" s="3" t="s">
        <v>343</v>
      </c>
      <c r="J308" s="10" t="s">
        <v>336</v>
      </c>
      <c r="K308" t="str">
        <f t="shared" si="42"/>
        <v/>
      </c>
      <c r="L308" t="str">
        <f t="shared" si="43"/>
        <v/>
      </c>
      <c r="M308" t="str">
        <f t="shared" si="44"/>
        <v/>
      </c>
      <c r="N308" t="str">
        <f t="shared" si="45"/>
        <v/>
      </c>
      <c r="O308" t="str">
        <f t="shared" si="46"/>
        <v/>
      </c>
    </row>
    <row r="309" spans="1:15" x14ac:dyDescent="0.25">
      <c r="A309" s="3" t="s">
        <v>141</v>
      </c>
      <c r="B309" s="3" t="s">
        <v>288</v>
      </c>
      <c r="C309" s="3">
        <v>33.484990000000003</v>
      </c>
      <c r="D309" s="3">
        <v>-98.666640000000001</v>
      </c>
      <c r="E309" s="3" t="s">
        <v>325</v>
      </c>
      <c r="F309" s="3" t="s">
        <v>950</v>
      </c>
      <c r="G309" s="3">
        <v>267</v>
      </c>
      <c r="H309" s="3" t="s">
        <v>20</v>
      </c>
      <c r="I309" s="3" t="s">
        <v>343</v>
      </c>
      <c r="J309" s="10" t="s">
        <v>336</v>
      </c>
      <c r="K309" t="str">
        <f t="shared" si="42"/>
        <v/>
      </c>
      <c r="L309" t="str">
        <f t="shared" si="43"/>
        <v/>
      </c>
      <c r="M309" t="str">
        <f t="shared" si="44"/>
        <v/>
      </c>
      <c r="N309" t="str">
        <f t="shared" si="45"/>
        <v/>
      </c>
      <c r="O309" t="str">
        <f t="shared" si="46"/>
        <v/>
      </c>
    </row>
    <row r="310" spans="1:15" x14ac:dyDescent="0.25">
      <c r="A310" s="3" t="s">
        <v>142</v>
      </c>
      <c r="B310" s="3" t="s">
        <v>289</v>
      </c>
      <c r="C310" s="3">
        <v>35.672379999999997</v>
      </c>
      <c r="D310" s="3">
        <v>-101.38969</v>
      </c>
      <c r="E310" s="3" t="s">
        <v>325</v>
      </c>
      <c r="F310" s="3" t="s">
        <v>951</v>
      </c>
      <c r="G310" s="3">
        <v>3397</v>
      </c>
      <c r="H310" s="3" t="s">
        <v>20</v>
      </c>
      <c r="I310" s="3" t="s">
        <v>343</v>
      </c>
      <c r="J310" s="10" t="s">
        <v>337</v>
      </c>
      <c r="K310" t="str">
        <f t="shared" si="42"/>
        <v/>
      </c>
      <c r="L310" t="str">
        <f t="shared" si="43"/>
        <v/>
      </c>
      <c r="M310" t="str">
        <f t="shared" si="44"/>
        <v/>
      </c>
      <c r="N310" t="str">
        <f t="shared" si="45"/>
        <v/>
      </c>
      <c r="O310" t="str">
        <f t="shared" si="46"/>
        <v/>
      </c>
    </row>
    <row r="311" spans="1:15" x14ac:dyDescent="0.25">
      <c r="A311" s="3" t="s">
        <v>143</v>
      </c>
      <c r="B311" s="3" t="s">
        <v>290</v>
      </c>
      <c r="C311" s="3">
        <v>32.358010999999998</v>
      </c>
      <c r="D311" s="3">
        <v>-102.77413900000001</v>
      </c>
      <c r="E311" s="3" t="s">
        <v>325</v>
      </c>
      <c r="F311" s="3" t="s">
        <v>952</v>
      </c>
      <c r="G311" s="3">
        <v>2238</v>
      </c>
      <c r="H311" s="3" t="s">
        <v>20</v>
      </c>
      <c r="I311" s="3" t="s">
        <v>343</v>
      </c>
      <c r="J311" s="10" t="s">
        <v>338</v>
      </c>
      <c r="K311" t="str">
        <f t="shared" si="42"/>
        <v/>
      </c>
      <c r="L311" t="str">
        <f t="shared" si="43"/>
        <v/>
      </c>
      <c r="M311" t="str">
        <f t="shared" si="44"/>
        <v/>
      </c>
      <c r="N311" t="str">
        <f t="shared" si="45"/>
        <v/>
      </c>
      <c r="O311" t="str">
        <f t="shared" si="46"/>
        <v/>
      </c>
    </row>
    <row r="312" spans="1:15" x14ac:dyDescent="0.25">
      <c r="A312" s="3" t="s">
        <v>144</v>
      </c>
      <c r="B312" s="3" t="s">
        <v>291</v>
      </c>
      <c r="C312" s="3">
        <v>31.1493</v>
      </c>
      <c r="D312" s="3">
        <v>-102.23484999999999</v>
      </c>
      <c r="E312" s="3" t="s">
        <v>325</v>
      </c>
      <c r="F312" s="3" t="s">
        <v>953</v>
      </c>
      <c r="G312" s="3">
        <v>1779</v>
      </c>
      <c r="H312" s="3" t="s">
        <v>20</v>
      </c>
      <c r="I312" s="3" t="s">
        <v>343</v>
      </c>
      <c r="J312" s="10" t="s">
        <v>338</v>
      </c>
      <c r="K312" t="str">
        <f t="shared" si="42"/>
        <v/>
      </c>
      <c r="L312" t="str">
        <f t="shared" si="43"/>
        <v/>
      </c>
      <c r="M312" t="str">
        <f t="shared" si="44"/>
        <v/>
      </c>
      <c r="N312" t="str">
        <f t="shared" si="45"/>
        <v/>
      </c>
      <c r="O312" t="str">
        <f t="shared" si="46"/>
        <v/>
      </c>
    </row>
    <row r="313" spans="1:15" x14ac:dyDescent="0.25">
      <c r="A313" s="3" t="s">
        <v>145</v>
      </c>
      <c r="B313" s="3" t="s">
        <v>292</v>
      </c>
      <c r="C313" s="3">
        <v>31.1447</v>
      </c>
      <c r="D313" s="3">
        <v>-102.19732</v>
      </c>
      <c r="E313" s="3" t="s">
        <v>325</v>
      </c>
      <c r="F313" s="3" t="s">
        <v>954</v>
      </c>
      <c r="G313" s="3">
        <v>714</v>
      </c>
      <c r="H313" s="3" t="s">
        <v>20</v>
      </c>
      <c r="I313" s="3" t="s">
        <v>343</v>
      </c>
      <c r="J313" s="10" t="s">
        <v>338</v>
      </c>
      <c r="K313" t="str">
        <f t="shared" si="42"/>
        <v/>
      </c>
      <c r="L313" t="str">
        <f t="shared" si="43"/>
        <v/>
      </c>
      <c r="M313" t="str">
        <f t="shared" si="44"/>
        <v/>
      </c>
      <c r="N313" t="str">
        <f t="shared" si="45"/>
        <v/>
      </c>
      <c r="O313" t="str">
        <f t="shared" si="46"/>
        <v/>
      </c>
    </row>
    <row r="314" spans="1:15" x14ac:dyDescent="0.25">
      <c r="A314" s="3" t="s">
        <v>146</v>
      </c>
      <c r="B314" s="3" t="s">
        <v>293</v>
      </c>
      <c r="C314" s="3">
        <v>31.215250000000001</v>
      </c>
      <c r="D314" s="3">
        <v>-101.92512000000001</v>
      </c>
      <c r="E314" s="3" t="s">
        <v>325</v>
      </c>
      <c r="F314" s="3" t="s">
        <v>955</v>
      </c>
      <c r="G314" s="3">
        <v>542</v>
      </c>
      <c r="H314" s="3" t="s">
        <v>20</v>
      </c>
      <c r="I314" s="3" t="s">
        <v>343</v>
      </c>
      <c r="J314" s="10" t="s">
        <v>338</v>
      </c>
      <c r="K314" t="str">
        <f t="shared" si="42"/>
        <v/>
      </c>
      <c r="L314" t="str">
        <f t="shared" si="43"/>
        <v/>
      </c>
      <c r="M314" t="str">
        <f t="shared" si="44"/>
        <v/>
      </c>
      <c r="N314" t="str">
        <f t="shared" si="45"/>
        <v/>
      </c>
      <c r="O314" t="str">
        <f t="shared" si="46"/>
        <v/>
      </c>
    </row>
    <row r="315" spans="1:15" x14ac:dyDescent="0.25">
      <c r="A315" s="3" t="s">
        <v>147</v>
      </c>
      <c r="B315" s="3" t="s">
        <v>294</v>
      </c>
      <c r="C315" s="3">
        <v>31.836220999999998</v>
      </c>
      <c r="D315" s="3">
        <v>-100.98764300000001</v>
      </c>
      <c r="E315" s="3" t="s">
        <v>325</v>
      </c>
      <c r="F315" s="3" t="s">
        <v>956</v>
      </c>
      <c r="G315" s="3">
        <v>406</v>
      </c>
      <c r="H315" s="3" t="s">
        <v>20</v>
      </c>
      <c r="I315" s="3" t="s">
        <v>343</v>
      </c>
      <c r="J315" s="10" t="s">
        <v>338</v>
      </c>
      <c r="K315" t="str">
        <f t="shared" si="42"/>
        <v/>
      </c>
      <c r="L315" t="str">
        <f t="shared" si="43"/>
        <v/>
      </c>
      <c r="M315" t="str">
        <f t="shared" si="44"/>
        <v/>
      </c>
      <c r="N315" t="str">
        <f t="shared" si="45"/>
        <v/>
      </c>
      <c r="O315" t="str">
        <f t="shared" si="46"/>
        <v/>
      </c>
    </row>
    <row r="316" spans="1:15" x14ac:dyDescent="0.25">
      <c r="A316" s="3" t="s">
        <v>148</v>
      </c>
      <c r="B316" s="3" t="s">
        <v>295</v>
      </c>
      <c r="C316" s="3">
        <v>31.980661000000001</v>
      </c>
      <c r="D316" s="3">
        <v>-102.616488</v>
      </c>
      <c r="E316" s="3" t="s">
        <v>325</v>
      </c>
      <c r="F316" s="3" t="s">
        <v>957</v>
      </c>
      <c r="G316" s="3">
        <v>1020</v>
      </c>
      <c r="H316" s="3" t="s">
        <v>20</v>
      </c>
      <c r="I316" s="3" t="s">
        <v>343</v>
      </c>
      <c r="J316" s="10" t="s">
        <v>338</v>
      </c>
      <c r="K316" t="str">
        <f t="shared" si="42"/>
        <v/>
      </c>
      <c r="L316" t="str">
        <f t="shared" si="43"/>
        <v/>
      </c>
      <c r="M316" t="str">
        <f t="shared" si="44"/>
        <v/>
      </c>
      <c r="N316" t="str">
        <f t="shared" si="45"/>
        <v/>
      </c>
      <c r="O316" t="str">
        <f t="shared" si="46"/>
        <v/>
      </c>
    </row>
    <row r="317" spans="1:15" x14ac:dyDescent="0.25">
      <c r="A317" s="3" t="s">
        <v>149</v>
      </c>
      <c r="B317" s="3" t="s">
        <v>296</v>
      </c>
      <c r="C317" s="3">
        <v>28.460896000000002</v>
      </c>
      <c r="D317" s="3">
        <v>-98.549691999999993</v>
      </c>
      <c r="E317" s="3" t="s">
        <v>325</v>
      </c>
      <c r="F317" s="3" t="s">
        <v>958</v>
      </c>
      <c r="G317" s="3">
        <v>1879</v>
      </c>
      <c r="H317" s="3" t="s">
        <v>20</v>
      </c>
      <c r="I317" s="3" t="s">
        <v>343</v>
      </c>
      <c r="J317" s="10" t="s">
        <v>340</v>
      </c>
      <c r="K317" t="str">
        <f t="shared" si="42"/>
        <v/>
      </c>
      <c r="L317" t="str">
        <f t="shared" si="43"/>
        <v/>
      </c>
      <c r="M317" t="str">
        <f t="shared" si="44"/>
        <v/>
      </c>
      <c r="N317" t="str">
        <f t="shared" si="45"/>
        <v/>
      </c>
      <c r="O317" t="str">
        <f t="shared" si="46"/>
        <v/>
      </c>
    </row>
    <row r="318" spans="1:15" x14ac:dyDescent="0.25">
      <c r="A318" s="3" t="s">
        <v>150</v>
      </c>
      <c r="B318" s="3" t="s">
        <v>297</v>
      </c>
      <c r="C318" s="3">
        <v>32.377290000000002</v>
      </c>
      <c r="D318" s="3">
        <v>-94.869309999999999</v>
      </c>
      <c r="E318" s="3" t="s">
        <v>325</v>
      </c>
      <c r="F318" s="3" t="s">
        <v>959</v>
      </c>
      <c r="G318" s="3">
        <v>1036</v>
      </c>
      <c r="H318" s="3" t="s">
        <v>12</v>
      </c>
      <c r="I318" s="3" t="s">
        <v>344</v>
      </c>
      <c r="J318" s="10" t="s">
        <v>334</v>
      </c>
      <c r="K318" t="str">
        <f t="shared" si="42"/>
        <v/>
      </c>
      <c r="L318" t="str">
        <f t="shared" si="43"/>
        <v/>
      </c>
      <c r="M318" t="str">
        <f t="shared" si="44"/>
        <v/>
      </c>
      <c r="N318" t="str">
        <f t="shared" si="45"/>
        <v/>
      </c>
      <c r="O318" t="str">
        <f t="shared" si="46"/>
        <v/>
      </c>
    </row>
    <row r="319" spans="1:15" x14ac:dyDescent="0.25">
      <c r="A319" s="3" t="s">
        <v>151</v>
      </c>
      <c r="B319" s="3" t="s">
        <v>298</v>
      </c>
      <c r="C319" s="3">
        <v>32.390839999999997</v>
      </c>
      <c r="D319" s="3">
        <v>-94.865219999999994</v>
      </c>
      <c r="E319" s="3" t="s">
        <v>325</v>
      </c>
      <c r="F319" s="3" t="s">
        <v>960</v>
      </c>
      <c r="G319" s="3">
        <v>748</v>
      </c>
      <c r="H319" s="3" t="s">
        <v>12</v>
      </c>
      <c r="I319" s="3" t="s">
        <v>344</v>
      </c>
      <c r="J319" s="10" t="s">
        <v>334</v>
      </c>
      <c r="K319" t="str">
        <f t="shared" si="42"/>
        <v/>
      </c>
      <c r="L319" t="str">
        <f t="shared" si="43"/>
        <v/>
      </c>
      <c r="M319" t="str">
        <f t="shared" si="44"/>
        <v/>
      </c>
      <c r="N319" t="str">
        <f t="shared" si="45"/>
        <v/>
      </c>
      <c r="O319" t="str">
        <f t="shared" si="46"/>
        <v/>
      </c>
    </row>
    <row r="320" spans="1:15" x14ac:dyDescent="0.25">
      <c r="A320" s="3" t="s">
        <v>152</v>
      </c>
      <c r="B320" s="3" t="s">
        <v>299</v>
      </c>
      <c r="C320" s="3">
        <v>32.387355999999997</v>
      </c>
      <c r="D320" s="3">
        <v>-94.875470000000007</v>
      </c>
      <c r="E320" s="3" t="s">
        <v>329</v>
      </c>
      <c r="F320" s="3" t="s">
        <v>961</v>
      </c>
      <c r="G320" s="3">
        <v>847</v>
      </c>
      <c r="H320" s="3" t="s">
        <v>12</v>
      </c>
      <c r="I320" s="3" t="s">
        <v>344</v>
      </c>
      <c r="J320" s="10" t="s">
        <v>334</v>
      </c>
      <c r="K320" t="str">
        <f t="shared" si="42"/>
        <v/>
      </c>
      <c r="L320" t="str">
        <f t="shared" si="43"/>
        <v/>
      </c>
      <c r="M320" t="str">
        <f t="shared" si="44"/>
        <v/>
      </c>
      <c r="N320" t="str">
        <f t="shared" si="45"/>
        <v/>
      </c>
      <c r="O320" t="str">
        <f t="shared" si="46"/>
        <v/>
      </c>
    </row>
    <row r="321" spans="1:15" x14ac:dyDescent="0.25">
      <c r="A321" s="3" t="s">
        <v>153</v>
      </c>
      <c r="B321" s="3" t="s">
        <v>300</v>
      </c>
      <c r="C321" s="3">
        <v>32.089530000000003</v>
      </c>
      <c r="D321" s="3">
        <v>-96.464110000000005</v>
      </c>
      <c r="E321" s="3" t="s">
        <v>325</v>
      </c>
      <c r="F321" s="3" t="s">
        <v>962</v>
      </c>
      <c r="G321" s="3">
        <v>913</v>
      </c>
      <c r="H321" s="3" t="s">
        <v>12</v>
      </c>
      <c r="I321" s="3" t="s">
        <v>344</v>
      </c>
      <c r="J321" s="10" t="s">
        <v>334</v>
      </c>
      <c r="K321" t="str">
        <f t="shared" si="42"/>
        <v/>
      </c>
      <c r="L321" t="str">
        <f t="shared" si="43"/>
        <v/>
      </c>
      <c r="M321" t="str">
        <f t="shared" si="44"/>
        <v/>
      </c>
      <c r="N321" t="str">
        <f t="shared" si="45"/>
        <v/>
      </c>
      <c r="O321" t="str">
        <f t="shared" si="46"/>
        <v/>
      </c>
    </row>
    <row r="322" spans="1:15" x14ac:dyDescent="0.25">
      <c r="A322" s="3" t="s">
        <v>154</v>
      </c>
      <c r="B322" s="3" t="s">
        <v>301</v>
      </c>
      <c r="C322" s="3">
        <v>32.386859999999999</v>
      </c>
      <c r="D322" s="3">
        <v>-94.876170000000002</v>
      </c>
      <c r="E322" s="3" t="s">
        <v>325</v>
      </c>
      <c r="F322" s="3" t="s">
        <v>963</v>
      </c>
      <c r="G322" s="3">
        <v>748</v>
      </c>
      <c r="H322" s="3" t="s">
        <v>12</v>
      </c>
      <c r="I322" s="3" t="s">
        <v>344</v>
      </c>
      <c r="J322" s="10" t="s">
        <v>334</v>
      </c>
      <c r="K322" t="str">
        <f t="shared" si="42"/>
        <v/>
      </c>
      <c r="L322" t="str">
        <f t="shared" si="43"/>
        <v/>
      </c>
      <c r="M322" t="str">
        <f t="shared" si="44"/>
        <v/>
      </c>
      <c r="N322" t="str">
        <f t="shared" si="45"/>
        <v/>
      </c>
      <c r="O322" t="str">
        <f t="shared" si="46"/>
        <v/>
      </c>
    </row>
    <row r="323" spans="1:15" x14ac:dyDescent="0.25">
      <c r="A323" s="3" t="s">
        <v>155</v>
      </c>
      <c r="B323" s="3" t="s">
        <v>302</v>
      </c>
      <c r="C323" s="3">
        <v>32.43723</v>
      </c>
      <c r="D323" s="3">
        <v>-95.097930000000005</v>
      </c>
      <c r="E323" s="3" t="s">
        <v>325</v>
      </c>
      <c r="F323" s="3" t="s">
        <v>964</v>
      </c>
      <c r="G323" s="3">
        <v>2407</v>
      </c>
      <c r="H323" s="3" t="s">
        <v>12</v>
      </c>
      <c r="I323" s="3" t="s">
        <v>344</v>
      </c>
      <c r="J323" s="10" t="s">
        <v>334</v>
      </c>
      <c r="K323" t="str">
        <f t="shared" si="42"/>
        <v/>
      </c>
      <c r="L323" t="str">
        <f t="shared" si="43"/>
        <v/>
      </c>
      <c r="M323" t="str">
        <f t="shared" si="44"/>
        <v/>
      </c>
      <c r="N323" t="str">
        <f t="shared" si="45"/>
        <v/>
      </c>
      <c r="O323" t="str">
        <f t="shared" si="46"/>
        <v/>
      </c>
    </row>
    <row r="324" spans="1:15" x14ac:dyDescent="0.25">
      <c r="A324" s="3" t="s">
        <v>156</v>
      </c>
      <c r="B324" s="3" t="s">
        <v>303</v>
      </c>
      <c r="C324" s="3">
        <v>32.178449999999998</v>
      </c>
      <c r="D324" s="3">
        <v>-94.922529999999995</v>
      </c>
      <c r="E324" s="3" t="s">
        <v>325</v>
      </c>
      <c r="F324" s="3" t="s">
        <v>965</v>
      </c>
      <c r="G324" s="3">
        <v>1494</v>
      </c>
      <c r="H324" s="3" t="s">
        <v>12</v>
      </c>
      <c r="I324" s="3" t="s">
        <v>344</v>
      </c>
      <c r="J324" s="10" t="s">
        <v>334</v>
      </c>
      <c r="K324" t="str">
        <f t="shared" si="42"/>
        <v/>
      </c>
      <c r="L324" t="str">
        <f t="shared" si="43"/>
        <v/>
      </c>
      <c r="M324" t="str">
        <f t="shared" si="44"/>
        <v/>
      </c>
      <c r="N324" t="str">
        <f t="shared" si="45"/>
        <v/>
      </c>
      <c r="O324" t="str">
        <f t="shared" si="46"/>
        <v/>
      </c>
    </row>
    <row r="325" spans="1:15" x14ac:dyDescent="0.25">
      <c r="A325" s="3" t="s">
        <v>157</v>
      </c>
      <c r="B325" s="3" t="s">
        <v>304</v>
      </c>
      <c r="C325" s="3">
        <v>29.406020000000002</v>
      </c>
      <c r="D325" s="3">
        <v>-96.241110000000006</v>
      </c>
      <c r="E325" s="3" t="s">
        <v>325</v>
      </c>
      <c r="F325" s="3" t="s">
        <v>966</v>
      </c>
      <c r="G325" s="3">
        <v>3251</v>
      </c>
      <c r="H325" s="3" t="s">
        <v>12</v>
      </c>
      <c r="I325" s="3" t="s">
        <v>344</v>
      </c>
      <c r="J325" s="10" t="s">
        <v>335</v>
      </c>
      <c r="K325" t="str">
        <f t="shared" si="42"/>
        <v/>
      </c>
      <c r="L325" t="str">
        <f t="shared" si="43"/>
        <v/>
      </c>
      <c r="M325" t="str">
        <f t="shared" si="44"/>
        <v/>
      </c>
      <c r="N325" t="str">
        <f t="shared" si="45"/>
        <v/>
      </c>
      <c r="O325" t="str">
        <f t="shared" si="46"/>
        <v/>
      </c>
    </row>
    <row r="326" spans="1:15" x14ac:dyDescent="0.25">
      <c r="A326" s="3" t="s">
        <v>158</v>
      </c>
      <c r="B326" s="3" t="s">
        <v>305</v>
      </c>
      <c r="C326" s="3">
        <v>29.365183999999999</v>
      </c>
      <c r="D326" s="3">
        <v>-94.814775999999995</v>
      </c>
      <c r="E326" s="3" t="s">
        <v>325</v>
      </c>
      <c r="F326" s="3" t="s">
        <v>967</v>
      </c>
      <c r="G326" s="3">
        <v>3152</v>
      </c>
      <c r="H326" s="3" t="s">
        <v>12</v>
      </c>
      <c r="I326" s="3" t="s">
        <v>344</v>
      </c>
      <c r="J326" s="10" t="s">
        <v>335</v>
      </c>
      <c r="K326" t="str">
        <f t="shared" si="42"/>
        <v/>
      </c>
      <c r="L326" t="str">
        <f t="shared" si="43"/>
        <v/>
      </c>
      <c r="M326" t="str">
        <f t="shared" si="44"/>
        <v/>
      </c>
      <c r="N326" t="str">
        <f t="shared" si="45"/>
        <v/>
      </c>
      <c r="O326" t="str">
        <f t="shared" si="46"/>
        <v/>
      </c>
    </row>
    <row r="327" spans="1:15" x14ac:dyDescent="0.25">
      <c r="A327" s="3" t="s">
        <v>159</v>
      </c>
      <c r="B327" s="3" t="s">
        <v>306</v>
      </c>
      <c r="C327" s="3">
        <v>29.71283</v>
      </c>
      <c r="D327" s="3">
        <v>-94.994420000000005</v>
      </c>
      <c r="E327" s="3" t="s">
        <v>325</v>
      </c>
      <c r="F327" s="3" t="s">
        <v>968</v>
      </c>
      <c r="G327" s="3">
        <v>1195</v>
      </c>
      <c r="H327" s="3" t="s">
        <v>12</v>
      </c>
      <c r="I327" s="3" t="s">
        <v>344</v>
      </c>
      <c r="J327" s="10" t="s">
        <v>335</v>
      </c>
      <c r="K327" t="str">
        <f t="shared" si="42"/>
        <v/>
      </c>
      <c r="L327" t="str">
        <f t="shared" si="43"/>
        <v/>
      </c>
      <c r="M327" t="str">
        <f t="shared" si="44"/>
        <v/>
      </c>
      <c r="N327" t="str">
        <f t="shared" si="45"/>
        <v/>
      </c>
      <c r="O327" t="str">
        <f t="shared" si="46"/>
        <v/>
      </c>
    </row>
    <row r="328" spans="1:15" x14ac:dyDescent="0.25">
      <c r="A328" s="3" t="s">
        <v>160</v>
      </c>
      <c r="B328" s="3" t="s">
        <v>307</v>
      </c>
      <c r="C328" s="3">
        <v>29.99954</v>
      </c>
      <c r="D328" s="3">
        <v>-95.268150000000006</v>
      </c>
      <c r="E328" s="3" t="s">
        <v>325</v>
      </c>
      <c r="F328" s="3" t="s">
        <v>969</v>
      </c>
      <c r="G328" s="3">
        <v>986</v>
      </c>
      <c r="H328" s="3" t="s">
        <v>12</v>
      </c>
      <c r="I328" s="3" t="s">
        <v>344</v>
      </c>
      <c r="J328" s="10" t="s">
        <v>335</v>
      </c>
      <c r="K328" t="str">
        <f t="shared" si="42"/>
        <v/>
      </c>
      <c r="L328" t="str">
        <f t="shared" si="43"/>
        <v/>
      </c>
      <c r="M328" t="str">
        <f t="shared" si="44"/>
        <v/>
      </c>
      <c r="N328" t="str">
        <f t="shared" si="45"/>
        <v/>
      </c>
      <c r="O328" t="str">
        <f t="shared" si="46"/>
        <v/>
      </c>
    </row>
    <row r="329" spans="1:15" x14ac:dyDescent="0.25">
      <c r="A329" s="3" t="s">
        <v>161</v>
      </c>
      <c r="B329" s="3" t="s">
        <v>308</v>
      </c>
      <c r="C329" s="3">
        <v>30.09685</v>
      </c>
      <c r="D329" s="3">
        <v>-95.614369999999994</v>
      </c>
      <c r="E329" s="3" t="s">
        <v>325</v>
      </c>
      <c r="F329" s="3" t="s">
        <v>970</v>
      </c>
      <c r="G329" s="3">
        <v>2688</v>
      </c>
      <c r="H329" s="3" t="s">
        <v>12</v>
      </c>
      <c r="I329" s="3" t="s">
        <v>344</v>
      </c>
      <c r="J329" s="10" t="s">
        <v>335</v>
      </c>
      <c r="K329" t="str">
        <f t="shared" si="42"/>
        <v/>
      </c>
      <c r="L329" t="str">
        <f t="shared" si="43"/>
        <v/>
      </c>
      <c r="M329" t="str">
        <f t="shared" si="44"/>
        <v/>
      </c>
      <c r="N329" t="str">
        <f t="shared" si="45"/>
        <v/>
      </c>
      <c r="O329" t="str">
        <f t="shared" si="46"/>
        <v/>
      </c>
    </row>
    <row r="330" spans="1:15" x14ac:dyDescent="0.25">
      <c r="A330" s="3" t="s">
        <v>162</v>
      </c>
      <c r="B330" s="3" t="s">
        <v>309</v>
      </c>
      <c r="C330" s="3">
        <v>32.401147000000002</v>
      </c>
      <c r="D330" s="3">
        <v>-98.818100000000001</v>
      </c>
      <c r="E330" s="3" t="s">
        <v>332</v>
      </c>
      <c r="F330" s="3" t="s">
        <v>971</v>
      </c>
      <c r="G330" s="3">
        <v>748</v>
      </c>
      <c r="H330" s="3" t="s">
        <v>12</v>
      </c>
      <c r="I330" s="3" t="s">
        <v>344</v>
      </c>
      <c r="J330" s="10" t="s">
        <v>336</v>
      </c>
      <c r="K330" t="str">
        <f t="shared" ref="K330:K353" si="47">IF(COUNTIF($F$11:$F$125,A330)&gt;0,"Y","")</f>
        <v/>
      </c>
      <c r="L330" t="str">
        <f t="shared" ref="L330:L345" si="48">IF(K330="Y",H330,"")</f>
        <v/>
      </c>
      <c r="M330" t="str">
        <f t="shared" ref="M330:M345" si="49">IF(K330="Y",J330,"")</f>
        <v/>
      </c>
      <c r="N330" t="str">
        <f t="shared" ref="N330:N353" si="50">IF(K330="Y",G330,"")</f>
        <v/>
      </c>
      <c r="O330" t="str">
        <f t="shared" ref="O330:O345" si="51">IF(K330="Y",I330,"")</f>
        <v/>
      </c>
    </row>
    <row r="331" spans="1:15" x14ac:dyDescent="0.25">
      <c r="A331" s="3" t="s">
        <v>163</v>
      </c>
      <c r="B331" s="3" t="s">
        <v>310</v>
      </c>
      <c r="C331" s="3">
        <v>34.025635999999999</v>
      </c>
      <c r="D331" s="3">
        <v>-98.909918000000005</v>
      </c>
      <c r="E331" s="3" t="s">
        <v>325</v>
      </c>
      <c r="F331" s="3" t="s">
        <v>972</v>
      </c>
      <c r="G331" s="3">
        <v>1890</v>
      </c>
      <c r="H331" s="3" t="s">
        <v>12</v>
      </c>
      <c r="I331" s="3" t="s">
        <v>344</v>
      </c>
      <c r="J331" s="10" t="s">
        <v>336</v>
      </c>
      <c r="K331" t="str">
        <f t="shared" si="47"/>
        <v/>
      </c>
      <c r="L331" t="str">
        <f t="shared" si="48"/>
        <v/>
      </c>
      <c r="M331" t="str">
        <f t="shared" si="49"/>
        <v/>
      </c>
      <c r="N331" t="str">
        <f t="shared" si="50"/>
        <v/>
      </c>
      <c r="O331" t="str">
        <f t="shared" si="51"/>
        <v/>
      </c>
    </row>
    <row r="332" spans="1:15" x14ac:dyDescent="0.25">
      <c r="A332" s="3" t="s">
        <v>164</v>
      </c>
      <c r="B332" s="3" t="s">
        <v>311</v>
      </c>
      <c r="C332" s="3">
        <v>34.102179999999997</v>
      </c>
      <c r="D332" s="3">
        <v>-98.544600000000003</v>
      </c>
      <c r="E332" s="3" t="s">
        <v>325</v>
      </c>
      <c r="F332" s="3" t="s">
        <v>973</v>
      </c>
      <c r="G332" s="3">
        <v>1195</v>
      </c>
      <c r="H332" s="3" t="s">
        <v>12</v>
      </c>
      <c r="I332" s="3" t="s">
        <v>344</v>
      </c>
      <c r="J332" s="10" t="s">
        <v>336</v>
      </c>
      <c r="K332" t="str">
        <f t="shared" si="47"/>
        <v/>
      </c>
      <c r="L332" t="str">
        <f t="shared" si="48"/>
        <v/>
      </c>
      <c r="M332" t="str">
        <f t="shared" si="49"/>
        <v/>
      </c>
      <c r="N332" t="str">
        <f t="shared" si="50"/>
        <v/>
      </c>
      <c r="O332" t="str">
        <f t="shared" si="51"/>
        <v/>
      </c>
    </row>
    <row r="333" spans="1:15" x14ac:dyDescent="0.25">
      <c r="A333" s="3" t="s">
        <v>165</v>
      </c>
      <c r="B333" s="3" t="s">
        <v>312</v>
      </c>
      <c r="C333" s="3">
        <v>32.766350000000003</v>
      </c>
      <c r="D333" s="3">
        <v>-98.29862</v>
      </c>
      <c r="E333" s="3" t="s">
        <v>325</v>
      </c>
      <c r="F333" s="3" t="s">
        <v>974</v>
      </c>
      <c r="G333" s="3">
        <v>1594</v>
      </c>
      <c r="H333" s="3" t="s">
        <v>12</v>
      </c>
      <c r="I333" s="3" t="s">
        <v>344</v>
      </c>
      <c r="J333" s="10" t="s">
        <v>336</v>
      </c>
      <c r="K333" t="str">
        <f t="shared" si="47"/>
        <v/>
      </c>
      <c r="L333" t="str">
        <f t="shared" si="48"/>
        <v/>
      </c>
      <c r="M333" t="str">
        <f t="shared" si="49"/>
        <v/>
      </c>
      <c r="N333" t="str">
        <f t="shared" si="50"/>
        <v/>
      </c>
      <c r="O333" t="str">
        <f t="shared" si="51"/>
        <v/>
      </c>
    </row>
    <row r="334" spans="1:15" x14ac:dyDescent="0.25">
      <c r="A334" s="3" t="s">
        <v>166</v>
      </c>
      <c r="B334" s="3" t="s">
        <v>313</v>
      </c>
      <c r="C334" s="3">
        <v>33.91377</v>
      </c>
      <c r="D334" s="3">
        <v>-98.491519999999994</v>
      </c>
      <c r="E334" s="3" t="s">
        <v>325</v>
      </c>
      <c r="F334" s="3" t="s">
        <v>975</v>
      </c>
      <c r="G334" s="3">
        <v>1191</v>
      </c>
      <c r="H334" s="3" t="s">
        <v>12</v>
      </c>
      <c r="I334" s="3" t="s">
        <v>344</v>
      </c>
      <c r="J334" s="10" t="s">
        <v>336</v>
      </c>
      <c r="K334" t="str">
        <f t="shared" si="47"/>
        <v/>
      </c>
      <c r="L334" t="str">
        <f t="shared" si="48"/>
        <v/>
      </c>
      <c r="M334" t="str">
        <f t="shared" si="49"/>
        <v/>
      </c>
      <c r="N334" t="str">
        <f t="shared" si="50"/>
        <v/>
      </c>
      <c r="O334" t="str">
        <f t="shared" si="51"/>
        <v/>
      </c>
    </row>
    <row r="335" spans="1:15" x14ac:dyDescent="0.25">
      <c r="A335" s="3" t="s">
        <v>167</v>
      </c>
      <c r="B335" s="3" t="s">
        <v>314</v>
      </c>
      <c r="C335" s="3">
        <v>31.740690000000001</v>
      </c>
      <c r="D335" s="3">
        <v>-98.948252999999994</v>
      </c>
      <c r="E335" s="3" t="s">
        <v>325</v>
      </c>
      <c r="F335" s="3" t="s">
        <v>976</v>
      </c>
      <c r="G335" s="3">
        <v>1257</v>
      </c>
      <c r="H335" s="3" t="s">
        <v>12</v>
      </c>
      <c r="I335" s="3" t="s">
        <v>344</v>
      </c>
      <c r="J335" s="10" t="s">
        <v>336</v>
      </c>
      <c r="K335" t="str">
        <f t="shared" si="47"/>
        <v/>
      </c>
      <c r="L335" t="str">
        <f t="shared" si="48"/>
        <v/>
      </c>
      <c r="M335" t="str">
        <f t="shared" si="49"/>
        <v/>
      </c>
      <c r="N335" t="str">
        <f t="shared" si="50"/>
        <v/>
      </c>
      <c r="O335" t="str">
        <f t="shared" si="51"/>
        <v/>
      </c>
    </row>
    <row r="336" spans="1:15" x14ac:dyDescent="0.25">
      <c r="A336" s="3" t="s">
        <v>168</v>
      </c>
      <c r="B336" s="3" t="s">
        <v>315</v>
      </c>
      <c r="C336" s="3">
        <v>33.648780000000002</v>
      </c>
      <c r="D336" s="3">
        <v>-97.307289999999995</v>
      </c>
      <c r="E336" s="3" t="s">
        <v>325</v>
      </c>
      <c r="F336" s="3" t="s">
        <v>977</v>
      </c>
      <c r="G336" s="3">
        <v>830</v>
      </c>
      <c r="H336" s="3" t="s">
        <v>12</v>
      </c>
      <c r="I336" s="3" t="s">
        <v>344</v>
      </c>
      <c r="J336" s="10" t="s">
        <v>336</v>
      </c>
      <c r="K336" t="str">
        <f t="shared" si="47"/>
        <v/>
      </c>
      <c r="L336" t="str">
        <f t="shared" si="48"/>
        <v/>
      </c>
      <c r="M336" t="str">
        <f t="shared" si="49"/>
        <v/>
      </c>
      <c r="N336" t="str">
        <f t="shared" si="50"/>
        <v/>
      </c>
      <c r="O336" t="str">
        <f t="shared" si="51"/>
        <v/>
      </c>
    </row>
    <row r="337" spans="1:24" x14ac:dyDescent="0.25">
      <c r="A337" s="3" t="s">
        <v>169</v>
      </c>
      <c r="B337" s="3" t="s">
        <v>316</v>
      </c>
      <c r="C337" s="3">
        <v>33.371175999999998</v>
      </c>
      <c r="D337" s="3">
        <v>-98.754367999999999</v>
      </c>
      <c r="E337" s="3" t="s">
        <v>325</v>
      </c>
      <c r="F337" s="3" t="s">
        <v>978</v>
      </c>
      <c r="G337" s="3">
        <v>1792</v>
      </c>
      <c r="H337" s="3" t="s">
        <v>12</v>
      </c>
      <c r="I337" s="3" t="s">
        <v>344</v>
      </c>
      <c r="J337" s="10" t="s">
        <v>336</v>
      </c>
      <c r="K337" t="str">
        <f t="shared" si="47"/>
        <v/>
      </c>
      <c r="L337" t="str">
        <f t="shared" si="48"/>
        <v/>
      </c>
      <c r="M337" t="str">
        <f t="shared" si="49"/>
        <v/>
      </c>
      <c r="N337" t="str">
        <f t="shared" si="50"/>
        <v/>
      </c>
      <c r="O337" t="str">
        <f t="shared" si="51"/>
        <v/>
      </c>
    </row>
    <row r="338" spans="1:24" x14ac:dyDescent="0.25">
      <c r="A338" s="3" t="s">
        <v>170</v>
      </c>
      <c r="B338" s="3" t="s">
        <v>317</v>
      </c>
      <c r="C338" s="3">
        <v>32.470120000000001</v>
      </c>
      <c r="D338" s="3">
        <v>-98.679190000000006</v>
      </c>
      <c r="E338" s="3" t="s">
        <v>325</v>
      </c>
      <c r="F338" s="3" t="s">
        <v>979</v>
      </c>
      <c r="G338" s="3">
        <v>748</v>
      </c>
      <c r="H338" s="3" t="s">
        <v>12</v>
      </c>
      <c r="I338" s="3" t="s">
        <v>344</v>
      </c>
      <c r="J338" s="10" t="s">
        <v>336</v>
      </c>
      <c r="K338" t="str">
        <f t="shared" si="47"/>
        <v/>
      </c>
      <c r="L338" t="str">
        <f t="shared" si="48"/>
        <v/>
      </c>
      <c r="M338" t="str">
        <f t="shared" si="49"/>
        <v/>
      </c>
      <c r="N338" t="str">
        <f t="shared" si="50"/>
        <v/>
      </c>
      <c r="O338" t="str">
        <f t="shared" si="51"/>
        <v/>
      </c>
    </row>
    <row r="339" spans="1:24" x14ac:dyDescent="0.25">
      <c r="A339" s="3" t="s">
        <v>171</v>
      </c>
      <c r="B339" s="3" t="s">
        <v>318</v>
      </c>
      <c r="C339" s="3">
        <v>34.011989999999997</v>
      </c>
      <c r="D339" s="3">
        <v>-100.82814</v>
      </c>
      <c r="E339" s="3" t="s">
        <v>325</v>
      </c>
      <c r="F339" s="3" t="s">
        <v>980</v>
      </c>
      <c r="G339" s="3">
        <v>1494</v>
      </c>
      <c r="H339" s="3" t="s">
        <v>12</v>
      </c>
      <c r="I339" s="3" t="s">
        <v>344</v>
      </c>
      <c r="J339" s="10" t="s">
        <v>337</v>
      </c>
      <c r="K339" t="str">
        <f t="shared" si="47"/>
        <v/>
      </c>
      <c r="L339" t="str">
        <f t="shared" si="48"/>
        <v/>
      </c>
      <c r="M339" t="str">
        <f t="shared" si="49"/>
        <v/>
      </c>
      <c r="N339" t="str">
        <f t="shared" si="50"/>
        <v/>
      </c>
      <c r="O339" t="str">
        <f t="shared" si="51"/>
        <v/>
      </c>
    </row>
    <row r="340" spans="1:24" x14ac:dyDescent="0.25">
      <c r="A340" s="3" t="s">
        <v>172</v>
      </c>
      <c r="B340" s="3" t="s">
        <v>319</v>
      </c>
      <c r="C340" s="3">
        <v>30.917137</v>
      </c>
      <c r="D340" s="3">
        <v>-101.908407</v>
      </c>
      <c r="E340" s="3" t="s">
        <v>325</v>
      </c>
      <c r="F340" s="3" t="s">
        <v>981</v>
      </c>
      <c r="G340" s="3">
        <v>1991</v>
      </c>
      <c r="H340" s="3" t="s">
        <v>12</v>
      </c>
      <c r="I340" s="3" t="s">
        <v>344</v>
      </c>
      <c r="J340" s="10" t="s">
        <v>338</v>
      </c>
      <c r="K340" t="str">
        <f t="shared" si="47"/>
        <v/>
      </c>
      <c r="L340" t="str">
        <f t="shared" si="48"/>
        <v/>
      </c>
      <c r="M340" t="str">
        <f t="shared" si="49"/>
        <v/>
      </c>
      <c r="N340" t="str">
        <f t="shared" si="50"/>
        <v/>
      </c>
      <c r="O340" t="str">
        <f t="shared" si="51"/>
        <v/>
      </c>
    </row>
    <row r="341" spans="1:24" x14ac:dyDescent="0.25">
      <c r="A341" s="3" t="s">
        <v>173</v>
      </c>
      <c r="B341" s="3" t="s">
        <v>320</v>
      </c>
      <c r="C341" s="3">
        <v>32.015825</v>
      </c>
      <c r="D341" s="3">
        <v>-102.00130299999999</v>
      </c>
      <c r="E341" s="3" t="s">
        <v>325</v>
      </c>
      <c r="F341" s="3" t="s">
        <v>982</v>
      </c>
      <c r="G341" s="3">
        <v>1162</v>
      </c>
      <c r="H341" s="3" t="s">
        <v>12</v>
      </c>
      <c r="I341" s="3" t="s">
        <v>344</v>
      </c>
      <c r="J341" s="10" t="s">
        <v>338</v>
      </c>
      <c r="K341" t="str">
        <f t="shared" si="47"/>
        <v/>
      </c>
      <c r="L341" t="str">
        <f t="shared" si="48"/>
        <v/>
      </c>
      <c r="M341" t="str">
        <f t="shared" si="49"/>
        <v/>
      </c>
      <c r="N341" t="str">
        <f t="shared" si="50"/>
        <v/>
      </c>
      <c r="O341" t="str">
        <f t="shared" si="51"/>
        <v/>
      </c>
    </row>
    <row r="342" spans="1:24" x14ac:dyDescent="0.25">
      <c r="A342" s="3" t="s">
        <v>174</v>
      </c>
      <c r="B342" s="3" t="s">
        <v>321</v>
      </c>
      <c r="C342" s="3">
        <v>30.139620000000001</v>
      </c>
      <c r="D342" s="3">
        <v>-94.413619999999995</v>
      </c>
      <c r="E342" s="3" t="s">
        <v>325</v>
      </c>
      <c r="F342" s="3" t="s">
        <v>983</v>
      </c>
      <c r="G342" s="3">
        <v>1494</v>
      </c>
      <c r="H342" s="3" t="s">
        <v>12</v>
      </c>
      <c r="I342" s="3" t="s">
        <v>344</v>
      </c>
      <c r="J342" s="10" t="s">
        <v>339</v>
      </c>
      <c r="K342" t="str">
        <f t="shared" si="47"/>
        <v/>
      </c>
      <c r="L342" t="str">
        <f t="shared" si="48"/>
        <v/>
      </c>
      <c r="M342" t="str">
        <f t="shared" si="49"/>
        <v/>
      </c>
      <c r="N342" t="str">
        <f t="shared" si="50"/>
        <v/>
      </c>
      <c r="O342" t="str">
        <f t="shared" si="51"/>
        <v/>
      </c>
    </row>
    <row r="343" spans="1:24" ht="15.75" thickBot="1" x14ac:dyDescent="0.3">
      <c r="A343" s="3" t="s">
        <v>175</v>
      </c>
      <c r="B343" s="3" t="s">
        <v>322</v>
      </c>
      <c r="C343" s="3">
        <v>27.848088000000001</v>
      </c>
      <c r="D343" s="3">
        <v>-97.226922000000002</v>
      </c>
      <c r="E343" s="3" t="s">
        <v>325</v>
      </c>
      <c r="F343" s="3" t="s">
        <v>984</v>
      </c>
      <c r="G343" s="3">
        <v>3019</v>
      </c>
      <c r="H343" s="3" t="s">
        <v>12</v>
      </c>
      <c r="I343" s="3" t="s">
        <v>344</v>
      </c>
      <c r="J343" s="10" t="s">
        <v>340</v>
      </c>
      <c r="K343" t="str">
        <f t="shared" si="47"/>
        <v/>
      </c>
      <c r="L343" t="str">
        <f t="shared" si="48"/>
        <v/>
      </c>
      <c r="M343" t="str">
        <f t="shared" si="49"/>
        <v/>
      </c>
      <c r="N343" t="str">
        <f t="shared" si="50"/>
        <v/>
      </c>
      <c r="O343" t="str">
        <f t="shared" si="51"/>
        <v/>
      </c>
    </row>
    <row r="344" spans="1:24" x14ac:dyDescent="0.25">
      <c r="A344" s="3" t="s">
        <v>176</v>
      </c>
      <c r="B344" s="3" t="s">
        <v>323</v>
      </c>
      <c r="C344" s="3">
        <v>29.683450000000001</v>
      </c>
      <c r="D344" s="3">
        <v>-97.646960000000007</v>
      </c>
      <c r="E344" s="3" t="s">
        <v>325</v>
      </c>
      <c r="F344" s="3" t="s">
        <v>985</v>
      </c>
      <c r="G344" s="3">
        <v>516</v>
      </c>
      <c r="H344" s="3" t="s">
        <v>12</v>
      </c>
      <c r="I344" s="3" t="s">
        <v>344</v>
      </c>
      <c r="J344" s="10" t="s">
        <v>340</v>
      </c>
      <c r="K344" t="str">
        <f t="shared" si="47"/>
        <v/>
      </c>
      <c r="L344" t="str">
        <f t="shared" si="48"/>
        <v/>
      </c>
      <c r="M344" t="str">
        <f t="shared" si="49"/>
        <v/>
      </c>
      <c r="N344" t="str">
        <f t="shared" si="50"/>
        <v/>
      </c>
      <c r="O344" t="str">
        <f t="shared" si="51"/>
        <v/>
      </c>
      <c r="P344" s="12" t="s">
        <v>1052</v>
      </c>
    </row>
    <row r="345" spans="1:24" ht="15.75" thickBot="1" x14ac:dyDescent="0.3">
      <c r="A345" s="3" t="s">
        <v>177</v>
      </c>
      <c r="B345" s="3" t="s">
        <v>324</v>
      </c>
      <c r="C345" s="3">
        <v>30.032474000000001</v>
      </c>
      <c r="D345" s="3">
        <v>-94.078575999999998</v>
      </c>
      <c r="E345" s="3" t="s">
        <v>325</v>
      </c>
      <c r="F345" s="3" t="s">
        <v>986</v>
      </c>
      <c r="G345" s="3">
        <v>1494</v>
      </c>
      <c r="H345" s="3" t="s">
        <v>12</v>
      </c>
      <c r="I345" s="3" t="s">
        <v>344</v>
      </c>
      <c r="J345" s="10" t="s">
        <v>341</v>
      </c>
      <c r="K345" t="str">
        <f t="shared" si="47"/>
        <v/>
      </c>
      <c r="L345" t="str">
        <f t="shared" si="48"/>
        <v/>
      </c>
      <c r="M345" t="str">
        <f t="shared" si="49"/>
        <v/>
      </c>
      <c r="N345" t="str">
        <f t="shared" si="50"/>
        <v/>
      </c>
      <c r="O345" t="str">
        <f t="shared" si="51"/>
        <v/>
      </c>
      <c r="P345" s="2">
        <f>SUM(N201:N345)</f>
        <v>0</v>
      </c>
    </row>
    <row r="346" spans="1:24" x14ac:dyDescent="0.25">
      <c r="A346" s="3"/>
      <c r="B346" s="3"/>
      <c r="C346" s="3"/>
      <c r="D346" s="3"/>
      <c r="E346" s="3"/>
      <c r="F346" s="3"/>
      <c r="G346" s="3"/>
      <c r="H346" s="3"/>
      <c r="I346" s="3"/>
      <c r="J346" s="3"/>
      <c r="N346" t="str">
        <f t="shared" si="50"/>
        <v/>
      </c>
    </row>
    <row r="347" spans="1:24" ht="18.75" x14ac:dyDescent="0.3">
      <c r="A347" s="5" t="s">
        <v>818</v>
      </c>
      <c r="B347" s="3"/>
      <c r="C347" s="3"/>
      <c r="D347" s="3"/>
      <c r="E347" s="3"/>
      <c r="F347" s="3" t="s">
        <v>819</v>
      </c>
      <c r="J347" s="3"/>
      <c r="N347" t="str">
        <f t="shared" si="50"/>
        <v/>
      </c>
      <c r="Q347" t="s">
        <v>834</v>
      </c>
      <c r="R347" t="s">
        <v>835</v>
      </c>
    </row>
    <row r="348" spans="1:24" ht="15.75" x14ac:dyDescent="0.25">
      <c r="A348" s="3" t="s">
        <v>178</v>
      </c>
      <c r="B348" s="3" t="s">
        <v>488</v>
      </c>
      <c r="C348" s="20">
        <v>45407.833333333336</v>
      </c>
      <c r="D348" s="20">
        <v>45408.25</v>
      </c>
      <c r="E348" s="3" t="s">
        <v>490</v>
      </c>
      <c r="F348" s="3">
        <v>2</v>
      </c>
      <c r="G348" s="3"/>
      <c r="H348" s="64" t="s">
        <v>832</v>
      </c>
      <c r="I348" s="64" t="s">
        <v>1109</v>
      </c>
      <c r="J348" s="64" t="s">
        <v>1109</v>
      </c>
      <c r="K348" t="str">
        <f t="shared" si="47"/>
        <v/>
      </c>
      <c r="L348" s="11">
        <v>45407.802083333336</v>
      </c>
      <c r="M348" s="11">
        <v>45408.217361111114</v>
      </c>
      <c r="N348" t="str">
        <f t="shared" si="50"/>
        <v/>
      </c>
      <c r="P348" t="s">
        <v>178</v>
      </c>
      <c r="Q348" s="14">
        <f>IF(L348&lt;C348,C348,L348)</f>
        <v>45407.833333333336</v>
      </c>
      <c r="R348" s="14">
        <f>IF(M348&lt;D348,M348,D348)</f>
        <v>45408.217361111114</v>
      </c>
      <c r="S348">
        <f>IF((R348-Q348)*60*24&gt;=480,480,(R348-Q348)*60*24)</f>
        <v>480</v>
      </c>
      <c r="T348" t="str">
        <f>IF(AND(K348="Y",S348&gt;=240),"A","D")</f>
        <v>D</v>
      </c>
      <c r="U348" t="str">
        <f>IF(S348&lt;240,"Insuff Time","")</f>
        <v/>
      </c>
    </row>
    <row r="349" spans="1:24" ht="15.75" x14ac:dyDescent="0.25">
      <c r="A349" s="3" t="s">
        <v>179</v>
      </c>
      <c r="B349" s="3" t="s">
        <v>489</v>
      </c>
      <c r="C349" s="20">
        <v>45408.833333333336</v>
      </c>
      <c r="D349" s="20">
        <v>45409.25</v>
      </c>
      <c r="E349" s="3" t="s">
        <v>491</v>
      </c>
      <c r="F349" s="3">
        <v>2</v>
      </c>
      <c r="G349" s="3"/>
      <c r="H349" s="64" t="s">
        <v>832</v>
      </c>
      <c r="I349" s="64" t="s">
        <v>1109</v>
      </c>
      <c r="J349" s="64" t="s">
        <v>1109</v>
      </c>
      <c r="K349" t="str">
        <f t="shared" si="47"/>
        <v/>
      </c>
      <c r="L349" s="11">
        <v>45408.974305555559</v>
      </c>
      <c r="M349" s="11">
        <v>45409.342361111114</v>
      </c>
      <c r="N349" t="str">
        <f t="shared" si="50"/>
        <v/>
      </c>
      <c r="P349" t="s">
        <v>179</v>
      </c>
      <c r="Q349" s="14">
        <f>IF(L349&lt;C349,C349,L349)</f>
        <v>45408.974305555559</v>
      </c>
      <c r="R349" s="14">
        <f>IF(M349&lt;D349,M349,D349)</f>
        <v>45409.25</v>
      </c>
      <c r="S349">
        <f>IF((R349-Q349)*60*24&gt;=480,480,(R349-Q349)*60*24)</f>
        <v>396.99999999487773</v>
      </c>
      <c r="T349" t="str">
        <f>IF(AND(K349="Y",S349&gt;=240),"A","D")</f>
        <v>D</v>
      </c>
      <c r="U349" t="str">
        <f>IF(S349&lt;240,"Insuff Time","")</f>
        <v/>
      </c>
    </row>
    <row r="350" spans="1:24" x14ac:dyDescent="0.25">
      <c r="A350" s="3"/>
      <c r="B350" s="3"/>
      <c r="C350" s="3"/>
      <c r="D350" s="3"/>
      <c r="E350" s="3"/>
      <c r="F350" s="3"/>
      <c r="G350" s="3"/>
      <c r="H350" s="3"/>
      <c r="I350" s="3"/>
      <c r="J350" s="3"/>
      <c r="N350" t="str">
        <f t="shared" si="50"/>
        <v/>
      </c>
      <c r="O350" s="18"/>
      <c r="R350" t="s">
        <v>1055</v>
      </c>
      <c r="S350" s="18">
        <v>45407</v>
      </c>
      <c r="T350" t="str">
        <f>IFERROR(VLOOKUP(S350,$U$354:$AA$417,3,FALSE),"")</f>
        <v/>
      </c>
      <c r="U350" s="17" t="str">
        <f>INDEX($T$354:$T$417,MATCH(T350,$W$354:$W$417,0))</f>
        <v/>
      </c>
      <c r="V350" s="14" t="str">
        <f>IF(T350="","",IF(U350&lt;45,"D","A"))</f>
        <v/>
      </c>
      <c r="W350" s="14"/>
      <c r="X350" s="17"/>
    </row>
    <row r="351" spans="1:24" ht="15.75" thickBot="1" x14ac:dyDescent="0.3">
      <c r="A351" s="3"/>
      <c r="B351" s="3"/>
      <c r="C351" s="3"/>
      <c r="D351" s="3"/>
      <c r="E351" s="3"/>
      <c r="F351" s="3"/>
      <c r="G351" s="3"/>
      <c r="H351" s="3"/>
      <c r="I351" s="3"/>
      <c r="J351" s="3"/>
      <c r="N351" t="str">
        <f t="shared" si="50"/>
        <v/>
      </c>
      <c r="O351" s="18"/>
      <c r="Q351" t="s">
        <v>1058</v>
      </c>
      <c r="R351" t="s">
        <v>1056</v>
      </c>
      <c r="S351" s="18">
        <v>45408</v>
      </c>
      <c r="T351" t="str">
        <f>IFERROR(VLOOKUP(S351,$U$354:$AA$417,3,FALSE),"")</f>
        <v/>
      </c>
      <c r="U351" s="17" t="str">
        <f>INDEX($T$354:$T$417,MATCH(T351,$W$354:$W$417,0))</f>
        <v/>
      </c>
      <c r="V351" s="14" t="str">
        <f t="shared" ref="V351:V352" si="52">IF(T351="","",IF(U351&lt;45,"D","A"))</f>
        <v/>
      </c>
      <c r="W351" s="14"/>
      <c r="X351" s="17"/>
    </row>
    <row r="352" spans="1:24" ht="18.75" x14ac:dyDescent="0.3">
      <c r="A352" s="5" t="s">
        <v>492</v>
      </c>
      <c r="B352" s="3"/>
      <c r="C352" s="3"/>
      <c r="D352" s="3"/>
      <c r="E352" s="3"/>
      <c r="F352" s="3"/>
      <c r="G352" s="3"/>
      <c r="H352" s="3"/>
      <c r="I352" s="3"/>
      <c r="J352" s="3"/>
      <c r="N352" t="str">
        <f t="shared" si="50"/>
        <v/>
      </c>
      <c r="O352" s="18"/>
      <c r="P352" s="13" t="s">
        <v>1053</v>
      </c>
      <c r="Q352">
        <f>COUNTIF(S350:S352,"A")</f>
        <v>0</v>
      </c>
      <c r="R352" t="s">
        <v>1057</v>
      </c>
      <c r="S352" s="18">
        <v>45409</v>
      </c>
      <c r="T352" t="str">
        <f>IFERROR(VLOOKUP(S352,$U$354:$AA$417,3,FALSE),"")</f>
        <v/>
      </c>
      <c r="U352" s="17" t="str">
        <f>INDEX($T$354:$T$417,MATCH(T352,$W$354:$W$417,0))</f>
        <v/>
      </c>
      <c r="V352" s="14" t="str">
        <f t="shared" si="52"/>
        <v/>
      </c>
      <c r="W352" s="14"/>
      <c r="X352" s="17"/>
    </row>
    <row r="353" spans="1:27" ht="15.75" thickBot="1" x14ac:dyDescent="0.3">
      <c r="A353" s="3" t="s">
        <v>815</v>
      </c>
      <c r="B353" s="3" t="s">
        <v>816</v>
      </c>
      <c r="C353" s="3" t="s">
        <v>1</v>
      </c>
      <c r="D353" s="3" t="s">
        <v>2</v>
      </c>
      <c r="E353" s="3" t="s">
        <v>495</v>
      </c>
      <c r="F353" s="3" t="s">
        <v>11</v>
      </c>
      <c r="G353" s="3" t="s">
        <v>817</v>
      </c>
      <c r="H353" s="3" t="s">
        <v>493</v>
      </c>
      <c r="I353" s="3" t="s">
        <v>494</v>
      </c>
      <c r="J353" s="3"/>
      <c r="K353" t="str">
        <f t="shared" si="47"/>
        <v/>
      </c>
      <c r="N353" t="str">
        <f t="shared" si="50"/>
        <v/>
      </c>
      <c r="P353" s="2">
        <f>SUM(O354:O417)</f>
        <v>0</v>
      </c>
      <c r="Q353" t="s">
        <v>834</v>
      </c>
      <c r="R353" t="s">
        <v>835</v>
      </c>
    </row>
    <row r="354" spans="1:27" ht="15.75" x14ac:dyDescent="0.25">
      <c r="A354" s="3" t="s">
        <v>496</v>
      </c>
      <c r="B354" s="3" t="s">
        <v>497</v>
      </c>
      <c r="C354" s="3">
        <v>27.762435</v>
      </c>
      <c r="D354" s="3">
        <v>-98.048445999999998</v>
      </c>
      <c r="E354" s="3" t="s">
        <v>500</v>
      </c>
      <c r="F354" s="3" t="s">
        <v>987</v>
      </c>
      <c r="G354" s="3">
        <v>0</v>
      </c>
      <c r="H354" s="65" t="s">
        <v>1137</v>
      </c>
      <c r="I354" s="64" t="s">
        <v>1109</v>
      </c>
      <c r="J354" s="64" t="s">
        <v>1109</v>
      </c>
      <c r="K354" s="3">
        <v>1</v>
      </c>
      <c r="L354" t="str">
        <f t="shared" ref="L354:L385" si="53">IF(COUNTIF($F$11:$F$125,A354)&gt;0,"Y","")</f>
        <v/>
      </c>
      <c r="M354" s="14"/>
      <c r="N354" s="14"/>
      <c r="O354" t="str">
        <f t="shared" ref="O354:O385" si="54">IF(L354="Y",G354,"")</f>
        <v/>
      </c>
      <c r="R354" s="14"/>
      <c r="S354" s="14"/>
      <c r="T354" t="str">
        <f>IF(L354="","",(S354-R354)*60*24)</f>
        <v/>
      </c>
      <c r="U354" s="16" t="str">
        <f>IF(T354="","",INT(R354))</f>
        <v/>
      </c>
      <c r="V354" t="str">
        <f>IF(L354="","",COUNTIF($L$354:L354,"Y"))</f>
        <v/>
      </c>
      <c r="W354" t="str">
        <f t="shared" ref="W354:W385" si="55">IF(L354="Y",A354,"")</f>
        <v/>
      </c>
      <c r="X354" t="str">
        <f>IF(L354="Y",O354,"")</f>
        <v/>
      </c>
      <c r="Y354" s="14" t="str">
        <f>IF(L354="Y",R354,"")</f>
        <v/>
      </c>
      <c r="Z354" s="14" t="str">
        <f>IF(L354="Y",S354,"")</f>
        <v/>
      </c>
      <c r="AA354" s="15" t="str">
        <f t="shared" ref="AA354:AA417" si="56">IF(L354="","",INT(Y354))</f>
        <v/>
      </c>
    </row>
    <row r="355" spans="1:27" ht="15.75" x14ac:dyDescent="0.25">
      <c r="A355" s="3" t="s">
        <v>501</v>
      </c>
      <c r="B355" s="3" t="s">
        <v>502</v>
      </c>
      <c r="C355" s="3">
        <v>31.755181</v>
      </c>
      <c r="D355" s="3">
        <v>-96.649413999999993</v>
      </c>
      <c r="E355" s="3" t="s">
        <v>505</v>
      </c>
      <c r="F355" s="3" t="s">
        <v>988</v>
      </c>
      <c r="G355" s="3">
        <v>4000</v>
      </c>
      <c r="H355" s="65" t="s">
        <v>1137</v>
      </c>
      <c r="I355" s="64" t="s">
        <v>1109</v>
      </c>
      <c r="J355" s="64" t="s">
        <v>1109</v>
      </c>
      <c r="K355" s="3">
        <v>2</v>
      </c>
      <c r="L355" t="str">
        <f t="shared" si="53"/>
        <v/>
      </c>
      <c r="M355" s="14"/>
      <c r="N355" s="14"/>
      <c r="O355" t="str">
        <f t="shared" si="54"/>
        <v/>
      </c>
      <c r="R355" s="14">
        <v>45408.666666666664</v>
      </c>
      <c r="S355" s="14">
        <v>45408.701388888891</v>
      </c>
      <c r="T355" t="str">
        <f t="shared" ref="T355:T417" si="57">IF(L355="","",(S355-R355)*60*24)</f>
        <v/>
      </c>
      <c r="U355" s="16" t="str">
        <f t="shared" ref="U355:U417" si="58">IF(T355="","",INT(R355))</f>
        <v/>
      </c>
      <c r="V355" t="str">
        <f>IF(L355="","",COUNTIF($L$354:L355,"Y"))</f>
        <v/>
      </c>
      <c r="W355" t="str">
        <f t="shared" si="55"/>
        <v/>
      </c>
      <c r="X355" t="str">
        <f t="shared" ref="X355:X417" si="59">IF(L355="Y",O355,"")</f>
        <v/>
      </c>
      <c r="Y355" s="14" t="str">
        <f t="shared" ref="Y355:Y417" si="60">IF(L355="Y",R355,"")</f>
        <v/>
      </c>
      <c r="Z355" s="14" t="str">
        <f t="shared" ref="Z355:Z417" si="61">IF(L355="Y",S355,"")</f>
        <v/>
      </c>
      <c r="AA355" s="15" t="str">
        <f t="shared" si="56"/>
        <v/>
      </c>
    </row>
    <row r="356" spans="1:27" ht="15.75" x14ac:dyDescent="0.25">
      <c r="A356" s="3" t="s">
        <v>506</v>
      </c>
      <c r="B356" s="3" t="s">
        <v>507</v>
      </c>
      <c r="C356" s="3">
        <v>33.315809999999999</v>
      </c>
      <c r="D356" s="3">
        <v>-99.855283</v>
      </c>
      <c r="E356" s="3" t="s">
        <v>510</v>
      </c>
      <c r="F356" s="3" t="s">
        <v>989</v>
      </c>
      <c r="G356" s="3">
        <v>4000</v>
      </c>
      <c r="H356" s="65" t="s">
        <v>1137</v>
      </c>
      <c r="I356" s="64" t="s">
        <v>1109</v>
      </c>
      <c r="J356" s="64" t="s">
        <v>1109</v>
      </c>
      <c r="K356" s="3">
        <v>3</v>
      </c>
      <c r="L356" t="str">
        <f t="shared" si="53"/>
        <v/>
      </c>
      <c r="M356" s="14"/>
      <c r="N356" s="14"/>
      <c r="O356" t="str">
        <f t="shared" si="54"/>
        <v/>
      </c>
      <c r="R356" s="14"/>
      <c r="S356" s="14"/>
      <c r="T356" t="str">
        <f t="shared" si="57"/>
        <v/>
      </c>
      <c r="U356" s="16" t="str">
        <f t="shared" si="58"/>
        <v/>
      </c>
      <c r="V356" t="str">
        <f>IF(L356="","",COUNTIF($L$354:L356,"Y"))</f>
        <v/>
      </c>
      <c r="W356" t="str">
        <f t="shared" si="55"/>
        <v/>
      </c>
      <c r="X356" t="str">
        <f t="shared" si="59"/>
        <v/>
      </c>
      <c r="Y356" s="14" t="str">
        <f t="shared" si="60"/>
        <v/>
      </c>
      <c r="Z356" s="14" t="str">
        <f t="shared" si="61"/>
        <v/>
      </c>
      <c r="AA356" s="15" t="str">
        <f t="shared" si="56"/>
        <v/>
      </c>
    </row>
    <row r="357" spans="1:27" ht="15.75" x14ac:dyDescent="0.25">
      <c r="A357" s="3" t="s">
        <v>511</v>
      </c>
      <c r="B357" s="3" t="s">
        <v>512</v>
      </c>
      <c r="C357" s="3">
        <v>31.530456000000001</v>
      </c>
      <c r="D357" s="3">
        <v>-94.110438000000002</v>
      </c>
      <c r="E357" s="3" t="s">
        <v>515</v>
      </c>
      <c r="F357" s="3" t="s">
        <v>990</v>
      </c>
      <c r="G357" s="3">
        <v>4000</v>
      </c>
      <c r="H357" s="65" t="s">
        <v>1137</v>
      </c>
      <c r="I357" s="64" t="s">
        <v>1109</v>
      </c>
      <c r="J357" s="64" t="s">
        <v>1109</v>
      </c>
      <c r="K357" s="3">
        <v>4</v>
      </c>
      <c r="L357" t="str">
        <f t="shared" si="53"/>
        <v/>
      </c>
      <c r="M357" s="14"/>
      <c r="N357" s="14"/>
      <c r="O357" t="str">
        <f t="shared" si="54"/>
        <v/>
      </c>
      <c r="R357" s="14"/>
      <c r="S357" s="14"/>
      <c r="T357" t="str">
        <f t="shared" si="57"/>
        <v/>
      </c>
      <c r="U357" s="16" t="str">
        <f t="shared" si="58"/>
        <v/>
      </c>
      <c r="V357" t="str">
        <f>IF(L357="","",COUNTIF($L$354:L357,"Y"))</f>
        <v/>
      </c>
      <c r="W357" t="str">
        <f t="shared" si="55"/>
        <v/>
      </c>
      <c r="X357" t="str">
        <f t="shared" si="59"/>
        <v/>
      </c>
      <c r="Y357" s="14" t="str">
        <f t="shared" si="60"/>
        <v/>
      </c>
      <c r="Z357" s="14" t="str">
        <f t="shared" si="61"/>
        <v/>
      </c>
      <c r="AA357" s="15" t="str">
        <f t="shared" si="56"/>
        <v/>
      </c>
    </row>
    <row r="358" spans="1:27" ht="15.75" x14ac:dyDescent="0.25">
      <c r="A358" s="3" t="s">
        <v>516</v>
      </c>
      <c r="B358" s="3" t="s">
        <v>517</v>
      </c>
      <c r="C358" s="3">
        <v>31.926045999999999</v>
      </c>
      <c r="D358" s="3">
        <v>-97.290402</v>
      </c>
      <c r="E358" s="3" t="s">
        <v>520</v>
      </c>
      <c r="F358" s="3" t="s">
        <v>991</v>
      </c>
      <c r="G358" s="3">
        <v>0</v>
      </c>
      <c r="H358" s="65" t="s">
        <v>1137</v>
      </c>
      <c r="I358" s="64" t="s">
        <v>1109</v>
      </c>
      <c r="J358" s="64" t="s">
        <v>1109</v>
      </c>
      <c r="K358" s="3">
        <v>5</v>
      </c>
      <c r="L358" t="str">
        <f t="shared" si="53"/>
        <v/>
      </c>
      <c r="M358" s="14"/>
      <c r="N358" s="14"/>
      <c r="O358" t="str">
        <f t="shared" si="54"/>
        <v/>
      </c>
      <c r="R358" s="14"/>
      <c r="S358" s="14"/>
      <c r="T358" t="str">
        <f t="shared" si="57"/>
        <v/>
      </c>
      <c r="U358" s="16" t="str">
        <f t="shared" si="58"/>
        <v/>
      </c>
      <c r="V358" t="str">
        <f>IF(L358="","",COUNTIF($L$354:L358,"Y"))</f>
        <v/>
      </c>
      <c r="W358" t="str">
        <f t="shared" si="55"/>
        <v/>
      </c>
      <c r="X358" t="str">
        <f t="shared" si="59"/>
        <v/>
      </c>
      <c r="Y358" s="14" t="str">
        <f t="shared" si="60"/>
        <v/>
      </c>
      <c r="Z358" s="14" t="str">
        <f t="shared" si="61"/>
        <v/>
      </c>
      <c r="AA358" s="15" t="str">
        <f t="shared" si="56"/>
        <v/>
      </c>
    </row>
    <row r="359" spans="1:27" ht="15.75" x14ac:dyDescent="0.25">
      <c r="A359" s="3" t="s">
        <v>521</v>
      </c>
      <c r="B359" s="3" t="s">
        <v>522</v>
      </c>
      <c r="C359" s="3">
        <v>35.188001999999997</v>
      </c>
      <c r="D359" s="3">
        <v>-101.795</v>
      </c>
      <c r="E359" s="3" t="s">
        <v>525</v>
      </c>
      <c r="F359" s="3" t="s">
        <v>992</v>
      </c>
      <c r="G359" s="3">
        <v>0</v>
      </c>
      <c r="H359" s="65" t="s">
        <v>1137</v>
      </c>
      <c r="I359" s="64" t="s">
        <v>1109</v>
      </c>
      <c r="J359" s="64" t="s">
        <v>1109</v>
      </c>
      <c r="K359" s="3">
        <v>6</v>
      </c>
      <c r="L359" t="str">
        <f t="shared" si="53"/>
        <v/>
      </c>
      <c r="M359" s="14"/>
      <c r="N359" s="14"/>
      <c r="O359" t="str">
        <f t="shared" si="54"/>
        <v/>
      </c>
      <c r="R359" s="14"/>
      <c r="S359" s="14"/>
      <c r="T359" t="str">
        <f t="shared" si="57"/>
        <v/>
      </c>
      <c r="U359" s="16" t="str">
        <f t="shared" si="58"/>
        <v/>
      </c>
      <c r="V359" t="str">
        <f>IF(L359="","",COUNTIF($L$354:L359,"Y"))</f>
        <v/>
      </c>
      <c r="W359" t="str">
        <f t="shared" si="55"/>
        <v/>
      </c>
      <c r="X359" t="str">
        <f t="shared" si="59"/>
        <v/>
      </c>
      <c r="Y359" s="14" t="str">
        <f t="shared" si="60"/>
        <v/>
      </c>
      <c r="Z359" s="14" t="str">
        <f t="shared" si="61"/>
        <v/>
      </c>
      <c r="AA359" s="15" t="str">
        <f t="shared" si="56"/>
        <v/>
      </c>
    </row>
    <row r="360" spans="1:27" ht="15.75" x14ac:dyDescent="0.25">
      <c r="A360" s="3" t="s">
        <v>526</v>
      </c>
      <c r="B360" s="3" t="s">
        <v>527</v>
      </c>
      <c r="C360" s="3">
        <v>30.489217</v>
      </c>
      <c r="D360" s="3">
        <v>-95.988219999999998</v>
      </c>
      <c r="E360" s="3" t="s">
        <v>530</v>
      </c>
      <c r="F360" s="3" t="s">
        <v>993</v>
      </c>
      <c r="G360" s="3">
        <v>1000</v>
      </c>
      <c r="H360" s="65" t="s">
        <v>1137</v>
      </c>
      <c r="I360" s="64" t="s">
        <v>1109</v>
      </c>
      <c r="J360" s="64" t="s">
        <v>1109</v>
      </c>
      <c r="K360" s="3">
        <v>7</v>
      </c>
      <c r="L360" t="str">
        <f t="shared" si="53"/>
        <v/>
      </c>
      <c r="M360" s="14"/>
      <c r="N360" s="14"/>
      <c r="O360" t="str">
        <f t="shared" si="54"/>
        <v/>
      </c>
      <c r="R360" s="14"/>
      <c r="S360" s="14"/>
      <c r="T360" t="str">
        <f t="shared" si="57"/>
        <v/>
      </c>
      <c r="U360" s="16" t="str">
        <f t="shared" si="58"/>
        <v/>
      </c>
      <c r="V360" t="str">
        <f>IF(L360="","",COUNTIF($L$354:L360,"Y"))</f>
        <v/>
      </c>
      <c r="W360" t="str">
        <f t="shared" si="55"/>
        <v/>
      </c>
      <c r="X360" t="str">
        <f t="shared" si="59"/>
        <v/>
      </c>
      <c r="Y360" s="14" t="str">
        <f t="shared" si="60"/>
        <v/>
      </c>
      <c r="Z360" s="14" t="str">
        <f t="shared" si="61"/>
        <v/>
      </c>
      <c r="AA360" s="15" t="str">
        <f t="shared" si="56"/>
        <v/>
      </c>
    </row>
    <row r="361" spans="1:27" ht="15.75" x14ac:dyDescent="0.25">
      <c r="A361" s="3" t="s">
        <v>531</v>
      </c>
      <c r="B361" s="3" t="s">
        <v>532</v>
      </c>
      <c r="C361" s="3">
        <v>30.276992</v>
      </c>
      <c r="D361" s="3">
        <v>-97.742011000000005</v>
      </c>
      <c r="E361" s="3" t="s">
        <v>535</v>
      </c>
      <c r="F361" s="3" t="s">
        <v>994</v>
      </c>
      <c r="G361" s="3">
        <v>1000</v>
      </c>
      <c r="H361" s="65" t="s">
        <v>1137</v>
      </c>
      <c r="I361" s="64" t="s">
        <v>1109</v>
      </c>
      <c r="J361" s="64" t="s">
        <v>1109</v>
      </c>
      <c r="K361" s="3">
        <v>8</v>
      </c>
      <c r="L361" t="str">
        <f t="shared" si="53"/>
        <v/>
      </c>
      <c r="M361" s="14"/>
      <c r="N361" s="14"/>
      <c r="O361" t="str">
        <f t="shared" si="54"/>
        <v/>
      </c>
      <c r="R361" s="14">
        <v>45407.635416666664</v>
      </c>
      <c r="S361" s="14">
        <v>45407.65625</v>
      </c>
      <c r="T361" t="str">
        <f t="shared" si="57"/>
        <v/>
      </c>
      <c r="U361" s="16" t="str">
        <f t="shared" si="58"/>
        <v/>
      </c>
      <c r="V361" t="str">
        <f>IF(L361="","",COUNTIF($L$354:L361,"Y"))</f>
        <v/>
      </c>
      <c r="W361" t="str">
        <f t="shared" si="55"/>
        <v/>
      </c>
      <c r="X361" t="str">
        <f t="shared" si="59"/>
        <v/>
      </c>
      <c r="Y361" s="14" t="str">
        <f t="shared" si="60"/>
        <v/>
      </c>
      <c r="Z361" s="14" t="str">
        <f t="shared" si="61"/>
        <v/>
      </c>
      <c r="AA361" s="15" t="str">
        <f t="shared" si="56"/>
        <v/>
      </c>
    </row>
    <row r="362" spans="1:27" ht="15.75" x14ac:dyDescent="0.25">
      <c r="A362" s="3" t="s">
        <v>536</v>
      </c>
      <c r="B362" s="3" t="s">
        <v>537</v>
      </c>
      <c r="C362" s="3">
        <v>30.109660000000002</v>
      </c>
      <c r="D362" s="3">
        <v>-97.319858999999994</v>
      </c>
      <c r="E362" s="3" t="s">
        <v>540</v>
      </c>
      <c r="F362" s="3" t="s">
        <v>995</v>
      </c>
      <c r="G362" s="3">
        <v>0</v>
      </c>
      <c r="H362" s="65" t="s">
        <v>1137</v>
      </c>
      <c r="I362" s="64" t="s">
        <v>1109</v>
      </c>
      <c r="J362" s="64" t="s">
        <v>1109</v>
      </c>
      <c r="K362" s="3">
        <v>9</v>
      </c>
      <c r="L362" t="str">
        <f t="shared" si="53"/>
        <v/>
      </c>
      <c r="M362" s="14"/>
      <c r="N362" s="14"/>
      <c r="O362" t="str">
        <f t="shared" si="54"/>
        <v/>
      </c>
      <c r="R362" s="14">
        <v>45409.4</v>
      </c>
      <c r="S362" s="14">
        <v>45409.458333333336</v>
      </c>
      <c r="T362" t="str">
        <f t="shared" si="57"/>
        <v/>
      </c>
      <c r="U362" s="16" t="str">
        <f t="shared" si="58"/>
        <v/>
      </c>
      <c r="V362" t="str">
        <f>IF(L362="","",COUNTIF($L$354:L362,"Y"))</f>
        <v/>
      </c>
      <c r="W362" t="str">
        <f t="shared" si="55"/>
        <v/>
      </c>
      <c r="X362" t="str">
        <f t="shared" si="59"/>
        <v/>
      </c>
      <c r="Y362" s="14" t="str">
        <f t="shared" si="60"/>
        <v/>
      </c>
      <c r="Z362" s="14" t="str">
        <f t="shared" si="61"/>
        <v/>
      </c>
      <c r="AA362" s="15" t="str">
        <f t="shared" si="56"/>
        <v/>
      </c>
    </row>
    <row r="363" spans="1:27" ht="15.75" x14ac:dyDescent="0.25">
      <c r="A363" s="3" t="s">
        <v>541</v>
      </c>
      <c r="B363" s="3" t="s">
        <v>542</v>
      </c>
      <c r="C363" s="3">
        <v>33.228192</v>
      </c>
      <c r="D363" s="3">
        <v>-97.578603000000001</v>
      </c>
      <c r="E363" s="3" t="s">
        <v>545</v>
      </c>
      <c r="F363" s="3" t="s">
        <v>996</v>
      </c>
      <c r="G363" s="3">
        <v>0</v>
      </c>
      <c r="H363" s="65" t="s">
        <v>1137</v>
      </c>
      <c r="I363" s="64" t="s">
        <v>1109</v>
      </c>
      <c r="J363" s="64" t="s">
        <v>1109</v>
      </c>
      <c r="K363" s="3">
        <v>10</v>
      </c>
      <c r="L363" t="str">
        <f t="shared" si="53"/>
        <v/>
      </c>
      <c r="M363" s="14"/>
      <c r="N363" s="14"/>
      <c r="O363" t="str">
        <f t="shared" si="54"/>
        <v/>
      </c>
      <c r="R363" s="14"/>
      <c r="S363" s="14"/>
      <c r="T363" t="str">
        <f t="shared" si="57"/>
        <v/>
      </c>
      <c r="U363" s="16" t="str">
        <f t="shared" si="58"/>
        <v/>
      </c>
      <c r="V363" t="str">
        <f>IF(L363="","",COUNTIF($L$354:L363,"Y"))</f>
        <v/>
      </c>
      <c r="W363" t="str">
        <f t="shared" si="55"/>
        <v/>
      </c>
      <c r="X363" t="str">
        <f t="shared" si="59"/>
        <v/>
      </c>
      <c r="Y363" s="14" t="str">
        <f t="shared" si="60"/>
        <v/>
      </c>
      <c r="Z363" s="14" t="str">
        <f t="shared" si="61"/>
        <v/>
      </c>
      <c r="AA363" s="15" t="str">
        <f t="shared" si="56"/>
        <v/>
      </c>
    </row>
    <row r="364" spans="1:27" ht="15.75" x14ac:dyDescent="0.25">
      <c r="A364" s="3" t="s">
        <v>546</v>
      </c>
      <c r="B364" s="3" t="s">
        <v>547</v>
      </c>
      <c r="C364" s="3">
        <v>29.330300999999999</v>
      </c>
      <c r="D364" s="3">
        <v>-99.280052999999995</v>
      </c>
      <c r="E364" s="3" t="s">
        <v>550</v>
      </c>
      <c r="F364" s="3" t="s">
        <v>997</v>
      </c>
      <c r="G364" s="3">
        <v>0</v>
      </c>
      <c r="H364" s="65" t="s">
        <v>1137</v>
      </c>
      <c r="I364" s="64" t="s">
        <v>1109</v>
      </c>
      <c r="J364" s="64" t="s">
        <v>1109</v>
      </c>
      <c r="K364" s="3">
        <v>11</v>
      </c>
      <c r="L364" t="str">
        <f t="shared" si="53"/>
        <v/>
      </c>
      <c r="M364" s="14"/>
      <c r="N364" s="14"/>
      <c r="O364" t="str">
        <f t="shared" si="54"/>
        <v/>
      </c>
      <c r="R364" s="14"/>
      <c r="S364" s="14"/>
      <c r="T364" t="str">
        <f t="shared" si="57"/>
        <v/>
      </c>
      <c r="U364" s="16" t="str">
        <f t="shared" si="58"/>
        <v/>
      </c>
      <c r="V364" t="str">
        <f>IF(L364="","",COUNTIF($L$354:L364,"Y"))</f>
        <v/>
      </c>
      <c r="W364" t="str">
        <f t="shared" si="55"/>
        <v/>
      </c>
      <c r="X364" t="str">
        <f t="shared" si="59"/>
        <v/>
      </c>
      <c r="Y364" s="14" t="str">
        <f t="shared" si="60"/>
        <v/>
      </c>
      <c r="Z364" s="14" t="str">
        <f t="shared" si="61"/>
        <v/>
      </c>
      <c r="AA364" s="15" t="str">
        <f t="shared" si="56"/>
        <v/>
      </c>
    </row>
    <row r="365" spans="1:27" ht="15.75" x14ac:dyDescent="0.25">
      <c r="A365" s="3" t="s">
        <v>551</v>
      </c>
      <c r="B365" s="3" t="s">
        <v>552</v>
      </c>
      <c r="C365" s="3">
        <v>30.40596</v>
      </c>
      <c r="D365" s="3">
        <v>-97.000281000000001</v>
      </c>
      <c r="E365" s="3" t="s">
        <v>555</v>
      </c>
      <c r="F365" s="3" t="s">
        <v>998</v>
      </c>
      <c r="G365" s="3">
        <v>0</v>
      </c>
      <c r="H365" s="65" t="s">
        <v>1137</v>
      </c>
      <c r="I365" s="64" t="s">
        <v>1109</v>
      </c>
      <c r="J365" s="64" t="s">
        <v>1109</v>
      </c>
      <c r="K365" s="3">
        <v>12</v>
      </c>
      <c r="L365" t="str">
        <f t="shared" si="53"/>
        <v/>
      </c>
      <c r="M365" s="14"/>
      <c r="N365" s="14"/>
      <c r="O365" t="str">
        <f t="shared" si="54"/>
        <v/>
      </c>
      <c r="R365" s="14"/>
      <c r="S365" s="14"/>
      <c r="T365" t="str">
        <f t="shared" si="57"/>
        <v/>
      </c>
      <c r="U365" s="16" t="str">
        <f t="shared" si="58"/>
        <v/>
      </c>
      <c r="V365" t="str">
        <f>IF(L365="","",COUNTIF($L$354:L365,"Y"))</f>
        <v/>
      </c>
      <c r="W365" t="str">
        <f t="shared" si="55"/>
        <v/>
      </c>
      <c r="X365" t="str">
        <f t="shared" si="59"/>
        <v/>
      </c>
      <c r="Y365" s="14" t="str">
        <f t="shared" si="60"/>
        <v/>
      </c>
      <c r="Z365" s="14" t="str">
        <f t="shared" si="61"/>
        <v/>
      </c>
      <c r="AA365" s="15" t="str">
        <f t="shared" si="56"/>
        <v/>
      </c>
    </row>
    <row r="366" spans="1:27" ht="15.75" x14ac:dyDescent="0.25">
      <c r="A366" s="3" t="s">
        <v>556</v>
      </c>
      <c r="B366" s="3" t="s">
        <v>557</v>
      </c>
      <c r="C366" s="3">
        <v>29.615894000000001</v>
      </c>
      <c r="D366" s="3">
        <v>-99.526953000000006</v>
      </c>
      <c r="E366" s="3" t="s">
        <v>560</v>
      </c>
      <c r="F366" s="3" t="s">
        <v>999</v>
      </c>
      <c r="G366" s="3">
        <v>0</v>
      </c>
      <c r="H366" s="65" t="s">
        <v>1137</v>
      </c>
      <c r="I366" s="64" t="s">
        <v>1109</v>
      </c>
      <c r="J366" s="64" t="s">
        <v>1109</v>
      </c>
      <c r="K366" s="3">
        <v>13</v>
      </c>
      <c r="L366" t="str">
        <f t="shared" si="53"/>
        <v/>
      </c>
      <c r="M366" s="14"/>
      <c r="N366" s="14"/>
      <c r="O366" t="str">
        <f t="shared" si="54"/>
        <v/>
      </c>
      <c r="R366" s="14"/>
      <c r="S366" s="14"/>
      <c r="T366" t="str">
        <f t="shared" si="57"/>
        <v/>
      </c>
      <c r="U366" s="16" t="str">
        <f t="shared" si="58"/>
        <v/>
      </c>
      <c r="V366" t="str">
        <f>IF(L366="","",COUNTIF($L$354:L366,"Y"))</f>
        <v/>
      </c>
      <c r="W366" t="str">
        <f t="shared" si="55"/>
        <v/>
      </c>
      <c r="X366" t="str">
        <f t="shared" si="59"/>
        <v/>
      </c>
      <c r="Y366" s="14" t="str">
        <f t="shared" si="60"/>
        <v/>
      </c>
      <c r="Z366" s="14" t="str">
        <f t="shared" si="61"/>
        <v/>
      </c>
      <c r="AA366" s="15" t="str">
        <f t="shared" si="56"/>
        <v/>
      </c>
    </row>
    <row r="367" spans="1:27" ht="15.75" x14ac:dyDescent="0.25">
      <c r="A367" s="3" t="s">
        <v>561</v>
      </c>
      <c r="B367" s="3" t="s">
        <v>562</v>
      </c>
      <c r="C367" s="3">
        <v>31.803252000000001</v>
      </c>
      <c r="D367" s="3">
        <v>-97.091830999999999</v>
      </c>
      <c r="E367" s="3" t="s">
        <v>565</v>
      </c>
      <c r="F367" s="3" t="s">
        <v>1000</v>
      </c>
      <c r="G367" s="3">
        <v>500</v>
      </c>
      <c r="H367" s="65" t="s">
        <v>1137</v>
      </c>
      <c r="I367" s="64" t="s">
        <v>1109</v>
      </c>
      <c r="J367" s="64" t="s">
        <v>1109</v>
      </c>
      <c r="K367" s="3">
        <v>14</v>
      </c>
      <c r="L367" t="str">
        <f t="shared" si="53"/>
        <v/>
      </c>
      <c r="M367" s="14"/>
      <c r="N367" s="14"/>
      <c r="O367" t="str">
        <f t="shared" si="54"/>
        <v/>
      </c>
      <c r="R367" s="14">
        <v>45407.635416666664</v>
      </c>
      <c r="S367" s="14">
        <v>45407.65625</v>
      </c>
      <c r="T367" t="str">
        <f t="shared" si="57"/>
        <v/>
      </c>
      <c r="U367" s="16" t="str">
        <f t="shared" si="58"/>
        <v/>
      </c>
      <c r="V367" t="str">
        <f>IF(L367="","",COUNTIF($L$354:L367,"Y"))</f>
        <v/>
      </c>
      <c r="W367" t="str">
        <f t="shared" si="55"/>
        <v/>
      </c>
      <c r="X367" t="str">
        <f t="shared" si="59"/>
        <v/>
      </c>
      <c r="Y367" s="14" t="str">
        <f t="shared" si="60"/>
        <v/>
      </c>
      <c r="Z367" s="14" t="str">
        <f t="shared" si="61"/>
        <v/>
      </c>
      <c r="AA367" s="15" t="str">
        <f t="shared" si="56"/>
        <v/>
      </c>
    </row>
    <row r="368" spans="1:27" ht="15.75" x14ac:dyDescent="0.25">
      <c r="A368" s="3" t="s">
        <v>566</v>
      </c>
      <c r="B368" s="3" t="s">
        <v>567</v>
      </c>
      <c r="C368" s="3">
        <v>29.945678999999998</v>
      </c>
      <c r="D368" s="3">
        <v>-96.252172000000002</v>
      </c>
      <c r="E368" s="3" t="s">
        <v>570</v>
      </c>
      <c r="F368" s="3" t="s">
        <v>1001</v>
      </c>
      <c r="G368" s="3">
        <v>0</v>
      </c>
      <c r="H368" s="65" t="s">
        <v>1137</v>
      </c>
      <c r="I368" s="64" t="s">
        <v>1109</v>
      </c>
      <c r="J368" s="64" t="s">
        <v>1109</v>
      </c>
      <c r="K368" s="3">
        <v>15</v>
      </c>
      <c r="L368" t="str">
        <f t="shared" si="53"/>
        <v/>
      </c>
      <c r="M368" s="14"/>
      <c r="N368" s="14"/>
      <c r="O368" t="str">
        <f t="shared" si="54"/>
        <v/>
      </c>
      <c r="R368" s="14"/>
      <c r="S368" s="14"/>
      <c r="T368" t="str">
        <f t="shared" si="57"/>
        <v/>
      </c>
      <c r="U368" s="16" t="str">
        <f t="shared" si="58"/>
        <v/>
      </c>
      <c r="V368" t="str">
        <f>IF(L368="","",COUNTIF($L$354:L368,"Y"))</f>
        <v/>
      </c>
      <c r="W368" t="str">
        <f t="shared" si="55"/>
        <v/>
      </c>
      <c r="X368" t="str">
        <f t="shared" si="59"/>
        <v/>
      </c>
      <c r="Y368" s="14" t="str">
        <f t="shared" si="60"/>
        <v/>
      </c>
      <c r="Z368" s="14" t="str">
        <f t="shared" si="61"/>
        <v/>
      </c>
      <c r="AA368" s="15" t="str">
        <f t="shared" si="56"/>
        <v/>
      </c>
    </row>
    <row r="369" spans="1:27" ht="15.75" x14ac:dyDescent="0.25">
      <c r="A369" s="3" t="s">
        <v>571</v>
      </c>
      <c r="B369" s="3" t="s">
        <v>572</v>
      </c>
      <c r="C369" s="3">
        <v>31.399168</v>
      </c>
      <c r="D369" s="3">
        <v>-102.3511</v>
      </c>
      <c r="E369" s="3" t="s">
        <v>575</v>
      </c>
      <c r="F369" s="3" t="s">
        <v>1002</v>
      </c>
      <c r="G369" s="3">
        <v>0</v>
      </c>
      <c r="H369" s="65" t="s">
        <v>1137</v>
      </c>
      <c r="I369" s="64" t="s">
        <v>1109</v>
      </c>
      <c r="J369" s="64" t="s">
        <v>1109</v>
      </c>
      <c r="K369" s="3">
        <v>16</v>
      </c>
      <c r="L369" t="str">
        <f t="shared" si="53"/>
        <v/>
      </c>
      <c r="M369" s="14"/>
      <c r="N369" s="14"/>
      <c r="O369" t="str">
        <f t="shared" si="54"/>
        <v/>
      </c>
      <c r="R369" s="14">
        <v>45409.4</v>
      </c>
      <c r="S369" s="14">
        <v>45409.458333333336</v>
      </c>
      <c r="T369" t="str">
        <f t="shared" si="57"/>
        <v/>
      </c>
      <c r="U369" s="16" t="str">
        <f t="shared" si="58"/>
        <v/>
      </c>
      <c r="V369" t="str">
        <f>IF(L369="","",COUNTIF($L$354:L369,"Y"))</f>
        <v/>
      </c>
      <c r="W369" t="str">
        <f t="shared" si="55"/>
        <v/>
      </c>
      <c r="X369" t="str">
        <f t="shared" si="59"/>
        <v/>
      </c>
      <c r="Y369" s="14" t="str">
        <f t="shared" si="60"/>
        <v/>
      </c>
      <c r="Z369" s="14" t="str">
        <f t="shared" si="61"/>
        <v/>
      </c>
      <c r="AA369" s="15" t="str">
        <f t="shared" si="56"/>
        <v/>
      </c>
    </row>
    <row r="370" spans="1:27" ht="15.75" x14ac:dyDescent="0.25">
      <c r="A370" s="3" t="s">
        <v>576</v>
      </c>
      <c r="B370" s="3" t="s">
        <v>577</v>
      </c>
      <c r="C370" s="3">
        <v>29.090923</v>
      </c>
      <c r="D370" s="3">
        <v>-97.293111999999994</v>
      </c>
      <c r="E370" s="3" t="s">
        <v>580</v>
      </c>
      <c r="F370" s="3" t="s">
        <v>1003</v>
      </c>
      <c r="G370" s="3">
        <v>0</v>
      </c>
      <c r="H370" s="65" t="s">
        <v>1137</v>
      </c>
      <c r="I370" s="64" t="s">
        <v>1109</v>
      </c>
      <c r="J370" s="64" t="s">
        <v>1109</v>
      </c>
      <c r="K370" s="3">
        <v>17</v>
      </c>
      <c r="L370" t="str">
        <f t="shared" si="53"/>
        <v/>
      </c>
      <c r="M370" s="14"/>
      <c r="N370" s="14"/>
      <c r="O370" t="str">
        <f t="shared" si="54"/>
        <v/>
      </c>
      <c r="R370" s="14"/>
      <c r="S370" s="14"/>
      <c r="T370" t="str">
        <f t="shared" si="57"/>
        <v/>
      </c>
      <c r="U370" s="16" t="str">
        <f t="shared" si="58"/>
        <v/>
      </c>
      <c r="V370" t="str">
        <f>IF(L370="","",COUNTIF($L$354:L370,"Y"))</f>
        <v/>
      </c>
      <c r="W370" t="str">
        <f t="shared" si="55"/>
        <v/>
      </c>
      <c r="X370" t="str">
        <f t="shared" si="59"/>
        <v/>
      </c>
      <c r="Y370" s="14" t="str">
        <f t="shared" si="60"/>
        <v/>
      </c>
      <c r="Z370" s="14" t="str">
        <f t="shared" si="61"/>
        <v/>
      </c>
      <c r="AA370" s="15" t="str">
        <f t="shared" si="56"/>
        <v/>
      </c>
    </row>
    <row r="371" spans="1:27" ht="15.75" x14ac:dyDescent="0.25">
      <c r="A371" s="3" t="s">
        <v>581</v>
      </c>
      <c r="B371" s="3" t="s">
        <v>582</v>
      </c>
      <c r="C371" s="3">
        <v>31.814174000000001</v>
      </c>
      <c r="D371" s="3">
        <v>-94.840868</v>
      </c>
      <c r="E371" s="3" t="s">
        <v>585</v>
      </c>
      <c r="F371" s="3" t="s">
        <v>1004</v>
      </c>
      <c r="G371" s="3">
        <v>0</v>
      </c>
      <c r="H371" s="65" t="s">
        <v>1137</v>
      </c>
      <c r="I371" s="64" t="s">
        <v>1109</v>
      </c>
      <c r="J371" s="64" t="s">
        <v>1109</v>
      </c>
      <c r="K371" s="3">
        <v>18</v>
      </c>
      <c r="L371" t="str">
        <f t="shared" si="53"/>
        <v/>
      </c>
      <c r="M371" s="14"/>
      <c r="N371" s="14"/>
      <c r="O371" t="str">
        <f t="shared" si="54"/>
        <v/>
      </c>
      <c r="R371" s="14"/>
      <c r="S371" s="14"/>
      <c r="T371" t="str">
        <f t="shared" si="57"/>
        <v/>
      </c>
      <c r="U371" s="16" t="str">
        <f t="shared" si="58"/>
        <v/>
      </c>
      <c r="V371" t="str">
        <f>IF(L371="","",COUNTIF($L$354:L371,"Y"))</f>
        <v/>
      </c>
      <c r="W371" t="str">
        <f t="shared" si="55"/>
        <v/>
      </c>
      <c r="X371" t="str">
        <f t="shared" si="59"/>
        <v/>
      </c>
      <c r="Y371" s="14" t="str">
        <f t="shared" si="60"/>
        <v/>
      </c>
      <c r="Z371" s="14" t="str">
        <f t="shared" si="61"/>
        <v/>
      </c>
      <c r="AA371" s="15" t="str">
        <f t="shared" si="56"/>
        <v/>
      </c>
    </row>
    <row r="372" spans="1:27" ht="15.75" x14ac:dyDescent="0.25">
      <c r="A372" s="3" t="s">
        <v>586</v>
      </c>
      <c r="B372" s="3" t="s">
        <v>587</v>
      </c>
      <c r="C372" s="3">
        <v>33.66283</v>
      </c>
      <c r="D372" s="3">
        <v>-95.261736999999997</v>
      </c>
      <c r="E372" s="3" t="s">
        <v>590</v>
      </c>
      <c r="F372" s="3" t="s">
        <v>1005</v>
      </c>
      <c r="G372" s="3">
        <v>0</v>
      </c>
      <c r="H372" s="65" t="s">
        <v>1137</v>
      </c>
      <c r="I372" s="64" t="s">
        <v>1109</v>
      </c>
      <c r="J372" s="64" t="s">
        <v>1109</v>
      </c>
      <c r="K372" s="3">
        <v>19</v>
      </c>
      <c r="L372" t="str">
        <f t="shared" si="53"/>
        <v/>
      </c>
      <c r="M372" s="14"/>
      <c r="N372" s="14"/>
      <c r="O372" t="str">
        <f t="shared" si="54"/>
        <v/>
      </c>
      <c r="R372" s="14"/>
      <c r="S372" s="14"/>
      <c r="T372" t="str">
        <f t="shared" si="57"/>
        <v/>
      </c>
      <c r="U372" s="16" t="str">
        <f t="shared" si="58"/>
        <v/>
      </c>
      <c r="V372" t="str">
        <f>IF(L372="","",COUNTIF($L$354:L372,"Y"))</f>
        <v/>
      </c>
      <c r="W372" t="str">
        <f t="shared" si="55"/>
        <v/>
      </c>
      <c r="X372" t="str">
        <f t="shared" si="59"/>
        <v/>
      </c>
      <c r="Y372" s="14" t="str">
        <f t="shared" si="60"/>
        <v/>
      </c>
      <c r="Z372" s="14" t="str">
        <f t="shared" si="61"/>
        <v/>
      </c>
      <c r="AA372" s="15" t="str">
        <f t="shared" si="56"/>
        <v/>
      </c>
    </row>
    <row r="373" spans="1:27" ht="15.75" x14ac:dyDescent="0.25">
      <c r="A373" s="3" t="s">
        <v>591</v>
      </c>
      <c r="B373" s="3" t="s">
        <v>592</v>
      </c>
      <c r="C373" s="3">
        <v>29.904779000000001</v>
      </c>
      <c r="D373" s="3">
        <v>-96.675456999999994</v>
      </c>
      <c r="E373" s="3" t="s">
        <v>595</v>
      </c>
      <c r="F373" s="3" t="s">
        <v>1006</v>
      </c>
      <c r="G373" s="3">
        <v>0</v>
      </c>
      <c r="H373" s="65" t="s">
        <v>1137</v>
      </c>
      <c r="I373" s="64" t="s">
        <v>1109</v>
      </c>
      <c r="J373" s="64" t="s">
        <v>1109</v>
      </c>
      <c r="K373" s="3">
        <v>20</v>
      </c>
      <c r="L373" t="str">
        <f t="shared" si="53"/>
        <v/>
      </c>
      <c r="M373" s="14"/>
      <c r="N373" s="14"/>
      <c r="O373" t="str">
        <f t="shared" si="54"/>
        <v/>
      </c>
      <c r="R373" s="14"/>
      <c r="S373" s="14"/>
      <c r="T373" t="str">
        <f t="shared" si="57"/>
        <v/>
      </c>
      <c r="U373" s="16" t="str">
        <f t="shared" si="58"/>
        <v/>
      </c>
      <c r="V373" t="str">
        <f>IF(L373="","",COUNTIF($L$354:L373,"Y"))</f>
        <v/>
      </c>
      <c r="W373" t="str">
        <f t="shared" si="55"/>
        <v/>
      </c>
      <c r="X373" t="str">
        <f t="shared" si="59"/>
        <v/>
      </c>
      <c r="Y373" s="14" t="str">
        <f t="shared" si="60"/>
        <v/>
      </c>
      <c r="Z373" s="14" t="str">
        <f t="shared" si="61"/>
        <v/>
      </c>
      <c r="AA373" s="15" t="str">
        <f t="shared" si="56"/>
        <v/>
      </c>
    </row>
    <row r="374" spans="1:27" ht="15.75" x14ac:dyDescent="0.25">
      <c r="A374" s="3" t="s">
        <v>596</v>
      </c>
      <c r="B374" s="3" t="s">
        <v>597</v>
      </c>
      <c r="C374" s="3">
        <v>30.877248000000002</v>
      </c>
      <c r="D374" s="3">
        <v>-96.592425000000006</v>
      </c>
      <c r="E374" s="3" t="s">
        <v>600</v>
      </c>
      <c r="F374" s="3" t="s">
        <v>1007</v>
      </c>
      <c r="G374" s="3">
        <v>0</v>
      </c>
      <c r="H374" s="65" t="s">
        <v>1137</v>
      </c>
      <c r="I374" s="64" t="s">
        <v>1109</v>
      </c>
      <c r="J374" s="64" t="s">
        <v>1109</v>
      </c>
      <c r="K374" s="3">
        <v>21</v>
      </c>
      <c r="L374" t="str">
        <f t="shared" si="53"/>
        <v/>
      </c>
      <c r="M374" s="14"/>
      <c r="N374" s="14"/>
      <c r="O374" t="str">
        <f t="shared" si="54"/>
        <v/>
      </c>
      <c r="R374" s="14"/>
      <c r="S374" s="14"/>
      <c r="T374" t="str">
        <f t="shared" si="57"/>
        <v/>
      </c>
      <c r="U374" s="16" t="str">
        <f t="shared" si="58"/>
        <v/>
      </c>
      <c r="V374" t="str">
        <f>IF(L374="","",COUNTIF($L$354:L374,"Y"))</f>
        <v/>
      </c>
      <c r="W374" t="str">
        <f t="shared" si="55"/>
        <v/>
      </c>
      <c r="X374" t="str">
        <f t="shared" si="59"/>
        <v/>
      </c>
      <c r="Y374" s="14" t="str">
        <f t="shared" si="60"/>
        <v/>
      </c>
      <c r="Z374" s="14" t="str">
        <f t="shared" si="61"/>
        <v/>
      </c>
      <c r="AA374" s="15" t="str">
        <f t="shared" si="56"/>
        <v/>
      </c>
    </row>
    <row r="375" spans="1:27" ht="15.75" x14ac:dyDescent="0.25">
      <c r="A375" s="3" t="s">
        <v>601</v>
      </c>
      <c r="B375" s="3" t="s">
        <v>602</v>
      </c>
      <c r="C375" s="3">
        <v>31.983004000000001</v>
      </c>
      <c r="D375" s="3">
        <v>-98.032928999999996</v>
      </c>
      <c r="E375" s="3" t="s">
        <v>605</v>
      </c>
      <c r="F375" s="3" t="s">
        <v>1008</v>
      </c>
      <c r="G375" s="3">
        <v>0</v>
      </c>
      <c r="H375" s="65" t="s">
        <v>1137</v>
      </c>
      <c r="I375" s="64" t="s">
        <v>1109</v>
      </c>
      <c r="J375" s="64" t="s">
        <v>1109</v>
      </c>
      <c r="K375" s="3">
        <v>22</v>
      </c>
      <c r="L375" t="str">
        <f t="shared" si="53"/>
        <v/>
      </c>
      <c r="M375" s="14"/>
      <c r="N375" s="14"/>
      <c r="O375" t="str">
        <f t="shared" si="54"/>
        <v/>
      </c>
      <c r="R375" s="14"/>
      <c r="S375" s="14"/>
      <c r="T375" t="str">
        <f t="shared" si="57"/>
        <v/>
      </c>
      <c r="U375" s="16" t="str">
        <f t="shared" si="58"/>
        <v/>
      </c>
      <c r="V375" t="str">
        <f>IF(L375="","",COUNTIF($L$354:L375,"Y"))</f>
        <v/>
      </c>
      <c r="W375" t="str">
        <f t="shared" si="55"/>
        <v/>
      </c>
      <c r="X375" t="str">
        <f t="shared" si="59"/>
        <v/>
      </c>
      <c r="Y375" s="14" t="str">
        <f t="shared" si="60"/>
        <v/>
      </c>
      <c r="Z375" s="14" t="str">
        <f t="shared" si="61"/>
        <v/>
      </c>
      <c r="AA375" s="15" t="str">
        <f t="shared" si="56"/>
        <v/>
      </c>
    </row>
    <row r="376" spans="1:27" ht="15.75" x14ac:dyDescent="0.25">
      <c r="A376" s="3" t="s">
        <v>606</v>
      </c>
      <c r="B376" s="3" t="s">
        <v>607</v>
      </c>
      <c r="C376" s="3">
        <v>30.544397</v>
      </c>
      <c r="D376" s="3">
        <v>-97.547694000000007</v>
      </c>
      <c r="E376" s="3" t="s">
        <v>610</v>
      </c>
      <c r="F376" s="3" t="s">
        <v>1009</v>
      </c>
      <c r="G376" s="3">
        <v>0</v>
      </c>
      <c r="H376" s="65" t="s">
        <v>1137</v>
      </c>
      <c r="I376" s="64" t="s">
        <v>1109</v>
      </c>
      <c r="J376" s="64" t="s">
        <v>1109</v>
      </c>
      <c r="K376" s="3">
        <v>23</v>
      </c>
      <c r="L376" t="str">
        <f t="shared" si="53"/>
        <v/>
      </c>
      <c r="M376" s="14"/>
      <c r="N376" s="14"/>
      <c r="O376" t="str">
        <f t="shared" si="54"/>
        <v/>
      </c>
      <c r="R376" s="14"/>
      <c r="S376" s="14"/>
      <c r="T376" t="str">
        <f t="shared" si="57"/>
        <v/>
      </c>
      <c r="U376" s="16" t="str">
        <f t="shared" si="58"/>
        <v/>
      </c>
      <c r="V376" t="str">
        <f>IF(L376="","",COUNTIF($L$354:L376,"Y"))</f>
        <v/>
      </c>
      <c r="W376" t="str">
        <f t="shared" si="55"/>
        <v/>
      </c>
      <c r="X376" t="str">
        <f t="shared" si="59"/>
        <v/>
      </c>
      <c r="Y376" s="14" t="str">
        <f t="shared" si="60"/>
        <v/>
      </c>
      <c r="Z376" s="14" t="str">
        <f t="shared" si="61"/>
        <v/>
      </c>
      <c r="AA376" s="15" t="str">
        <f t="shared" si="56"/>
        <v/>
      </c>
    </row>
    <row r="377" spans="1:27" ht="15.75" x14ac:dyDescent="0.25">
      <c r="A377" s="3" t="s">
        <v>611</v>
      </c>
      <c r="B377" s="3" t="s">
        <v>612</v>
      </c>
      <c r="C377" s="3">
        <v>32.866056999999998</v>
      </c>
      <c r="D377" s="3">
        <v>-96.944655999999995</v>
      </c>
      <c r="E377" s="3" t="s">
        <v>615</v>
      </c>
      <c r="F377" s="3" t="s">
        <v>1010</v>
      </c>
      <c r="G377" s="3">
        <v>1000</v>
      </c>
      <c r="H377" s="65" t="s">
        <v>1137</v>
      </c>
      <c r="I377" s="64" t="s">
        <v>1109</v>
      </c>
      <c r="J377" s="64" t="s">
        <v>1109</v>
      </c>
      <c r="K377" s="3">
        <v>24</v>
      </c>
      <c r="L377" t="str">
        <f t="shared" si="53"/>
        <v/>
      </c>
      <c r="M377" s="14"/>
      <c r="N377" s="14"/>
      <c r="O377" t="str">
        <f t="shared" si="54"/>
        <v/>
      </c>
      <c r="R377" s="14"/>
      <c r="S377" s="14"/>
      <c r="T377" t="str">
        <f t="shared" si="57"/>
        <v/>
      </c>
      <c r="U377" s="16" t="str">
        <f t="shared" si="58"/>
        <v/>
      </c>
      <c r="V377" t="str">
        <f>IF(L377="","",COUNTIF($L$354:L377,"Y"))</f>
        <v/>
      </c>
      <c r="W377" t="str">
        <f t="shared" si="55"/>
        <v/>
      </c>
      <c r="X377" t="str">
        <f t="shared" si="59"/>
        <v/>
      </c>
      <c r="Y377" s="14" t="str">
        <f t="shared" si="60"/>
        <v/>
      </c>
      <c r="Z377" s="14" t="str">
        <f t="shared" si="61"/>
        <v/>
      </c>
      <c r="AA377" s="15" t="str">
        <f t="shared" si="56"/>
        <v/>
      </c>
    </row>
    <row r="378" spans="1:27" ht="15.75" x14ac:dyDescent="0.25">
      <c r="A378" s="3" t="s">
        <v>616</v>
      </c>
      <c r="B378" s="3" t="s">
        <v>617</v>
      </c>
      <c r="C378" s="3">
        <v>30.491035</v>
      </c>
      <c r="D378" s="3">
        <v>-99.776831999999999</v>
      </c>
      <c r="E378" s="3" t="s">
        <v>620</v>
      </c>
      <c r="F378" s="3" t="s">
        <v>1011</v>
      </c>
      <c r="G378" s="3">
        <v>0</v>
      </c>
      <c r="H378" s="65" t="s">
        <v>1137</v>
      </c>
      <c r="I378" s="64" t="s">
        <v>1109</v>
      </c>
      <c r="J378" s="64" t="s">
        <v>1109</v>
      </c>
      <c r="K378" s="3">
        <v>25</v>
      </c>
      <c r="L378" t="str">
        <f t="shared" si="53"/>
        <v/>
      </c>
      <c r="M378" s="14"/>
      <c r="N378" s="14"/>
      <c r="O378" t="str">
        <f t="shared" si="54"/>
        <v/>
      </c>
      <c r="R378" s="14"/>
      <c r="S378" s="14"/>
      <c r="T378" t="str">
        <f t="shared" si="57"/>
        <v/>
      </c>
      <c r="U378" s="16" t="str">
        <f t="shared" si="58"/>
        <v/>
      </c>
      <c r="V378" t="str">
        <f>IF(L378="","",COUNTIF($L$354:L378,"Y"))</f>
        <v/>
      </c>
      <c r="W378" t="str">
        <f t="shared" si="55"/>
        <v/>
      </c>
      <c r="X378" t="str">
        <f t="shared" si="59"/>
        <v/>
      </c>
      <c r="Y378" s="14" t="str">
        <f t="shared" si="60"/>
        <v/>
      </c>
      <c r="Z378" s="14" t="str">
        <f t="shared" si="61"/>
        <v/>
      </c>
      <c r="AA378" s="15" t="str">
        <f t="shared" si="56"/>
        <v/>
      </c>
    </row>
    <row r="379" spans="1:27" ht="15.75" x14ac:dyDescent="0.25">
      <c r="A379" s="3" t="s">
        <v>621</v>
      </c>
      <c r="B379" s="3" t="s">
        <v>622</v>
      </c>
      <c r="C379" s="3">
        <v>30.759287</v>
      </c>
      <c r="D379" s="3">
        <v>-98.682086999999996</v>
      </c>
      <c r="E379" s="3" t="s">
        <v>625</v>
      </c>
      <c r="F379" s="3" t="s">
        <v>1012</v>
      </c>
      <c r="G379" s="3">
        <v>0</v>
      </c>
      <c r="H379" s="65" t="s">
        <v>1137</v>
      </c>
      <c r="I379" s="64" t="s">
        <v>1109</v>
      </c>
      <c r="J379" s="64" t="s">
        <v>1109</v>
      </c>
      <c r="K379" s="3">
        <v>26</v>
      </c>
      <c r="L379" t="str">
        <f t="shared" si="53"/>
        <v/>
      </c>
      <c r="M379" s="14"/>
      <c r="N379" s="14"/>
      <c r="O379" t="str">
        <f t="shared" si="54"/>
        <v/>
      </c>
      <c r="R379" s="14"/>
      <c r="S379" s="14"/>
      <c r="T379" t="str">
        <f t="shared" si="57"/>
        <v/>
      </c>
      <c r="U379" s="16" t="str">
        <f t="shared" si="58"/>
        <v/>
      </c>
      <c r="V379" t="str">
        <f>IF(L379="","",COUNTIF($L$354:L379,"Y"))</f>
        <v/>
      </c>
      <c r="W379" t="str">
        <f t="shared" si="55"/>
        <v/>
      </c>
      <c r="X379" t="str">
        <f t="shared" si="59"/>
        <v/>
      </c>
      <c r="Y379" s="14" t="str">
        <f t="shared" si="60"/>
        <v/>
      </c>
      <c r="Z379" s="14" t="str">
        <f t="shared" si="61"/>
        <v/>
      </c>
      <c r="AA379" s="15" t="str">
        <f t="shared" si="56"/>
        <v/>
      </c>
    </row>
    <row r="380" spans="1:27" ht="15.75" x14ac:dyDescent="0.25">
      <c r="A380" s="3" t="s">
        <v>626</v>
      </c>
      <c r="B380" s="3" t="s">
        <v>627</v>
      </c>
      <c r="C380" s="3">
        <v>32.941189999999999</v>
      </c>
      <c r="D380" s="3">
        <v>-94.711365999999998</v>
      </c>
      <c r="E380" s="3" t="s">
        <v>630</v>
      </c>
      <c r="F380" s="3" t="s">
        <v>1013</v>
      </c>
      <c r="G380" s="3">
        <v>2000</v>
      </c>
      <c r="H380" s="65" t="s">
        <v>1137</v>
      </c>
      <c r="I380" s="64" t="s">
        <v>1109</v>
      </c>
      <c r="J380" s="64" t="s">
        <v>1109</v>
      </c>
      <c r="K380" s="3">
        <v>27</v>
      </c>
      <c r="L380" t="str">
        <f t="shared" si="53"/>
        <v/>
      </c>
      <c r="M380" s="14"/>
      <c r="N380" s="14"/>
      <c r="O380" t="str">
        <f t="shared" si="54"/>
        <v/>
      </c>
      <c r="R380" s="14"/>
      <c r="S380" s="14"/>
      <c r="T380" t="str">
        <f t="shared" si="57"/>
        <v/>
      </c>
      <c r="U380" s="16" t="str">
        <f t="shared" si="58"/>
        <v/>
      </c>
      <c r="V380" t="str">
        <f>IF(L380="","",COUNTIF($L$354:L380,"Y"))</f>
        <v/>
      </c>
      <c r="W380" t="str">
        <f t="shared" si="55"/>
        <v/>
      </c>
      <c r="X380" t="str">
        <f t="shared" si="59"/>
        <v/>
      </c>
      <c r="Y380" s="14" t="str">
        <f t="shared" si="60"/>
        <v/>
      </c>
      <c r="Z380" s="14" t="str">
        <f t="shared" si="61"/>
        <v/>
      </c>
      <c r="AA380" s="15" t="str">
        <f t="shared" si="56"/>
        <v/>
      </c>
    </row>
    <row r="381" spans="1:27" ht="15.75" x14ac:dyDescent="0.25">
      <c r="A381" s="3" t="s">
        <v>631</v>
      </c>
      <c r="B381" s="3" t="s">
        <v>632</v>
      </c>
      <c r="C381" s="3">
        <v>30.570785000000001</v>
      </c>
      <c r="D381" s="3">
        <v>-98.275980000000004</v>
      </c>
      <c r="E381" s="3" t="s">
        <v>635</v>
      </c>
      <c r="F381" s="3" t="s">
        <v>1014</v>
      </c>
      <c r="G381" s="3">
        <v>0</v>
      </c>
      <c r="H381" s="65" t="s">
        <v>1137</v>
      </c>
      <c r="I381" s="64" t="s">
        <v>1109</v>
      </c>
      <c r="J381" s="64" t="s">
        <v>1109</v>
      </c>
      <c r="K381" s="3">
        <v>28</v>
      </c>
      <c r="L381" t="str">
        <f t="shared" si="53"/>
        <v/>
      </c>
      <c r="M381" s="14"/>
      <c r="N381" s="14"/>
      <c r="O381" t="str">
        <f t="shared" si="54"/>
        <v/>
      </c>
      <c r="R381" s="14"/>
      <c r="S381" s="14"/>
      <c r="T381" t="str">
        <f t="shared" si="57"/>
        <v/>
      </c>
      <c r="U381" s="16" t="str">
        <f t="shared" si="58"/>
        <v/>
      </c>
      <c r="V381" t="str">
        <f>IF(L381="","",COUNTIF($L$354:L381,"Y"))</f>
        <v/>
      </c>
      <c r="W381" t="str">
        <f t="shared" si="55"/>
        <v/>
      </c>
      <c r="X381" t="str">
        <f t="shared" si="59"/>
        <v/>
      </c>
      <c r="Y381" s="14" t="str">
        <f t="shared" si="60"/>
        <v/>
      </c>
      <c r="Z381" s="14" t="str">
        <f t="shared" si="61"/>
        <v/>
      </c>
      <c r="AA381" s="15" t="str">
        <f t="shared" si="56"/>
        <v/>
      </c>
    </row>
    <row r="382" spans="1:27" ht="15.75" x14ac:dyDescent="0.25">
      <c r="A382" s="3" t="s">
        <v>636</v>
      </c>
      <c r="B382" s="3" t="s">
        <v>637</v>
      </c>
      <c r="C382" s="3">
        <v>32.508099000000001</v>
      </c>
      <c r="D382" s="3">
        <v>-98.417034000000001</v>
      </c>
      <c r="E382" s="3" t="s">
        <v>640</v>
      </c>
      <c r="F382" s="3" t="s">
        <v>1015</v>
      </c>
      <c r="G382" s="3">
        <v>2000</v>
      </c>
      <c r="H382" s="65" t="s">
        <v>1137</v>
      </c>
      <c r="I382" s="64" t="s">
        <v>1109</v>
      </c>
      <c r="J382" s="64" t="s">
        <v>1109</v>
      </c>
      <c r="K382" s="3">
        <v>29</v>
      </c>
      <c r="L382" t="str">
        <f t="shared" si="53"/>
        <v/>
      </c>
      <c r="M382" s="14"/>
      <c r="N382" s="14"/>
      <c r="O382" t="str">
        <f t="shared" si="54"/>
        <v/>
      </c>
      <c r="R382" s="14"/>
      <c r="S382" s="14"/>
      <c r="T382" t="str">
        <f t="shared" si="57"/>
        <v/>
      </c>
      <c r="U382" s="16" t="str">
        <f t="shared" si="58"/>
        <v/>
      </c>
      <c r="V382" t="str">
        <f>IF(L382="","",COUNTIF($L$354:L382,"Y"))</f>
        <v/>
      </c>
      <c r="W382" t="str">
        <f t="shared" si="55"/>
        <v/>
      </c>
      <c r="X382" t="str">
        <f t="shared" si="59"/>
        <v/>
      </c>
      <c r="Y382" s="14" t="str">
        <f t="shared" si="60"/>
        <v/>
      </c>
      <c r="Z382" s="14" t="str">
        <f t="shared" si="61"/>
        <v/>
      </c>
      <c r="AA382" s="15" t="str">
        <f t="shared" si="56"/>
        <v/>
      </c>
    </row>
    <row r="383" spans="1:27" ht="15.75" x14ac:dyDescent="0.25">
      <c r="A383" s="3" t="s">
        <v>641</v>
      </c>
      <c r="B383" s="3" t="s">
        <v>642</v>
      </c>
      <c r="C383" s="3">
        <v>29.494329</v>
      </c>
      <c r="D383" s="3">
        <v>-94.919730999999999</v>
      </c>
      <c r="E383" s="3" t="s">
        <v>645</v>
      </c>
      <c r="F383" s="3" t="s">
        <v>1016</v>
      </c>
      <c r="G383" s="3">
        <v>0</v>
      </c>
      <c r="H383" s="65" t="s">
        <v>1137</v>
      </c>
      <c r="I383" s="64" t="s">
        <v>1109</v>
      </c>
      <c r="J383" s="64" t="s">
        <v>1109</v>
      </c>
      <c r="K383" s="3">
        <v>30</v>
      </c>
      <c r="L383" t="str">
        <f t="shared" si="53"/>
        <v/>
      </c>
      <c r="M383" s="14"/>
      <c r="N383" s="14"/>
      <c r="O383" t="str">
        <f t="shared" si="54"/>
        <v/>
      </c>
      <c r="R383" s="14"/>
      <c r="S383" s="14"/>
      <c r="T383" t="str">
        <f t="shared" si="57"/>
        <v/>
      </c>
      <c r="U383" s="16" t="str">
        <f t="shared" si="58"/>
        <v/>
      </c>
      <c r="V383" t="str">
        <f>IF(L383="","",COUNTIF($L$354:L383,"Y"))</f>
        <v/>
      </c>
      <c r="W383" t="str">
        <f t="shared" si="55"/>
        <v/>
      </c>
      <c r="X383" t="str">
        <f t="shared" si="59"/>
        <v/>
      </c>
      <c r="Y383" s="14" t="str">
        <f t="shared" si="60"/>
        <v/>
      </c>
      <c r="Z383" s="14" t="str">
        <f t="shared" si="61"/>
        <v/>
      </c>
      <c r="AA383" s="15" t="str">
        <f t="shared" si="56"/>
        <v/>
      </c>
    </row>
    <row r="384" spans="1:27" ht="15.75" x14ac:dyDescent="0.25">
      <c r="A384" s="3" t="s">
        <v>646</v>
      </c>
      <c r="B384" s="3" t="s">
        <v>647</v>
      </c>
      <c r="C384" s="3">
        <v>32.206457999999998</v>
      </c>
      <c r="D384" s="3">
        <v>-95.848016999999999</v>
      </c>
      <c r="E384" s="3" t="s">
        <v>650</v>
      </c>
      <c r="F384" s="3" t="s">
        <v>1017</v>
      </c>
      <c r="G384" s="3">
        <v>0</v>
      </c>
      <c r="H384" s="65" t="s">
        <v>1137</v>
      </c>
      <c r="I384" s="64" t="s">
        <v>1109</v>
      </c>
      <c r="J384" s="64" t="s">
        <v>1109</v>
      </c>
      <c r="K384" s="3">
        <v>31</v>
      </c>
      <c r="L384" t="str">
        <f t="shared" si="53"/>
        <v/>
      </c>
      <c r="M384" s="14"/>
      <c r="N384" s="14"/>
      <c r="O384" t="str">
        <f t="shared" si="54"/>
        <v/>
      </c>
      <c r="R384" s="14"/>
      <c r="S384" s="14"/>
      <c r="T384" t="str">
        <f t="shared" si="57"/>
        <v/>
      </c>
      <c r="U384" s="16" t="str">
        <f t="shared" si="58"/>
        <v/>
      </c>
      <c r="V384" t="str">
        <f>IF(L384="","",COUNTIF($L$354:L384,"Y"))</f>
        <v/>
      </c>
      <c r="W384" t="str">
        <f t="shared" si="55"/>
        <v/>
      </c>
      <c r="X384" t="str">
        <f t="shared" si="59"/>
        <v/>
      </c>
      <c r="Y384" s="14" t="str">
        <f t="shared" si="60"/>
        <v/>
      </c>
      <c r="Z384" s="14" t="str">
        <f t="shared" si="61"/>
        <v/>
      </c>
      <c r="AA384" s="15" t="str">
        <f t="shared" si="56"/>
        <v/>
      </c>
    </row>
    <row r="385" spans="1:27" ht="15.75" x14ac:dyDescent="0.25">
      <c r="A385" s="3" t="s">
        <v>651</v>
      </c>
      <c r="B385" s="3" t="s">
        <v>652</v>
      </c>
      <c r="C385" s="3">
        <v>29.286715999999998</v>
      </c>
      <c r="D385" s="3">
        <v>-97.151554000000004</v>
      </c>
      <c r="E385" s="3" t="s">
        <v>655</v>
      </c>
      <c r="F385" s="3" t="s">
        <v>1018</v>
      </c>
      <c r="G385" s="3">
        <v>0</v>
      </c>
      <c r="H385" s="65" t="s">
        <v>1137</v>
      </c>
      <c r="I385" s="64" t="s">
        <v>1109</v>
      </c>
      <c r="J385" s="64" t="s">
        <v>1109</v>
      </c>
      <c r="K385" s="3">
        <v>32</v>
      </c>
      <c r="L385" t="str">
        <f t="shared" si="53"/>
        <v/>
      </c>
      <c r="M385" s="14"/>
      <c r="N385" s="14"/>
      <c r="O385" t="str">
        <f t="shared" si="54"/>
        <v/>
      </c>
      <c r="R385" s="14"/>
      <c r="S385" s="14"/>
      <c r="T385" t="str">
        <f t="shared" si="57"/>
        <v/>
      </c>
      <c r="U385" s="16" t="str">
        <f t="shared" si="58"/>
        <v/>
      </c>
      <c r="V385" t="str">
        <f>IF(L385="","",COUNTIF($L$354:L385,"Y"))</f>
        <v/>
      </c>
      <c r="W385" t="str">
        <f t="shared" si="55"/>
        <v/>
      </c>
      <c r="X385" t="str">
        <f t="shared" si="59"/>
        <v/>
      </c>
      <c r="Y385" s="14" t="str">
        <f t="shared" si="60"/>
        <v/>
      </c>
      <c r="Z385" s="14" t="str">
        <f t="shared" si="61"/>
        <v/>
      </c>
      <c r="AA385" s="15" t="str">
        <f t="shared" si="56"/>
        <v/>
      </c>
    </row>
    <row r="386" spans="1:27" ht="15.75" x14ac:dyDescent="0.25">
      <c r="A386" s="3" t="s">
        <v>656</v>
      </c>
      <c r="B386" s="3" t="s">
        <v>657</v>
      </c>
      <c r="C386" s="3">
        <v>33.661082999999998</v>
      </c>
      <c r="D386" s="3">
        <v>-95.385845000000003</v>
      </c>
      <c r="E386" s="3" t="s">
        <v>660</v>
      </c>
      <c r="F386" s="3" t="s">
        <v>1019</v>
      </c>
      <c r="G386" s="3">
        <v>0</v>
      </c>
      <c r="H386" s="65" t="s">
        <v>1137</v>
      </c>
      <c r="I386" s="64" t="s">
        <v>1109</v>
      </c>
      <c r="J386" s="64" t="s">
        <v>1109</v>
      </c>
      <c r="K386" s="3">
        <v>33</v>
      </c>
      <c r="L386" t="str">
        <f t="shared" ref="L386:L417" si="62">IF(COUNTIF($F$11:$F$125,A386)&gt;0,"Y","")</f>
        <v/>
      </c>
      <c r="M386" s="14"/>
      <c r="N386" s="14"/>
      <c r="O386" t="str">
        <f t="shared" ref="O386:O417" si="63">IF(L386="Y",G386,"")</f>
        <v/>
      </c>
      <c r="R386" s="14"/>
      <c r="S386" s="14"/>
      <c r="T386" t="str">
        <f t="shared" si="57"/>
        <v/>
      </c>
      <c r="U386" s="16" t="str">
        <f t="shared" si="58"/>
        <v/>
      </c>
      <c r="V386" t="str">
        <f>IF(L386="","",COUNTIF($L$354:L386,"Y"))</f>
        <v/>
      </c>
      <c r="W386" t="str">
        <f t="shared" ref="W386:W417" si="64">IF(L386="Y",A386,"")</f>
        <v/>
      </c>
      <c r="X386" t="str">
        <f t="shared" si="59"/>
        <v/>
      </c>
      <c r="Y386" s="14" t="str">
        <f t="shared" si="60"/>
        <v/>
      </c>
      <c r="Z386" s="14" t="str">
        <f t="shared" si="61"/>
        <v/>
      </c>
      <c r="AA386" s="15" t="str">
        <f t="shared" si="56"/>
        <v/>
      </c>
    </row>
    <row r="387" spans="1:27" ht="15.75" x14ac:dyDescent="0.25">
      <c r="A387" s="3" t="s">
        <v>661</v>
      </c>
      <c r="B387" s="3" t="s">
        <v>662</v>
      </c>
      <c r="C387" s="3">
        <v>31.118425999999999</v>
      </c>
      <c r="D387" s="3">
        <v>-99.335322000000005</v>
      </c>
      <c r="E387" s="3" t="s">
        <v>665</v>
      </c>
      <c r="F387" s="3" t="s">
        <v>1020</v>
      </c>
      <c r="G387" s="3">
        <v>0</v>
      </c>
      <c r="H387" s="65" t="s">
        <v>1137</v>
      </c>
      <c r="I387" s="64" t="s">
        <v>1109</v>
      </c>
      <c r="J387" s="64" t="s">
        <v>1109</v>
      </c>
      <c r="K387" s="3">
        <v>34</v>
      </c>
      <c r="L387" t="str">
        <f t="shared" si="62"/>
        <v/>
      </c>
      <c r="M387" s="14"/>
      <c r="N387" s="14"/>
      <c r="O387" t="str">
        <f t="shared" si="63"/>
        <v/>
      </c>
      <c r="R387" s="14"/>
      <c r="S387" s="14"/>
      <c r="T387" t="str">
        <f t="shared" si="57"/>
        <v/>
      </c>
      <c r="U387" s="16" t="str">
        <f t="shared" si="58"/>
        <v/>
      </c>
      <c r="V387" t="str">
        <f>IF(L387="","",COUNTIF($L$354:L387,"Y"))</f>
        <v/>
      </c>
      <c r="W387" t="str">
        <f t="shared" si="64"/>
        <v/>
      </c>
      <c r="X387" t="str">
        <f t="shared" si="59"/>
        <v/>
      </c>
      <c r="Y387" s="14" t="str">
        <f t="shared" si="60"/>
        <v/>
      </c>
      <c r="Z387" s="14" t="str">
        <f t="shared" si="61"/>
        <v/>
      </c>
      <c r="AA387" s="15" t="str">
        <f t="shared" si="56"/>
        <v/>
      </c>
    </row>
    <row r="388" spans="1:27" ht="15.75" x14ac:dyDescent="0.25">
      <c r="A388" s="3" t="s">
        <v>666</v>
      </c>
      <c r="B388" s="3" t="s">
        <v>667</v>
      </c>
      <c r="C388" s="3">
        <v>31.728138999999999</v>
      </c>
      <c r="D388" s="3">
        <v>-98.983171999999996</v>
      </c>
      <c r="E388" s="3" t="s">
        <v>670</v>
      </c>
      <c r="F388" s="3" t="s">
        <v>1021</v>
      </c>
      <c r="G388" s="3">
        <v>0</v>
      </c>
      <c r="H388" s="65" t="s">
        <v>1137</v>
      </c>
      <c r="I388" s="64" t="s">
        <v>1109</v>
      </c>
      <c r="J388" s="64" t="s">
        <v>1109</v>
      </c>
      <c r="K388" s="3">
        <v>35</v>
      </c>
      <c r="L388" t="str">
        <f t="shared" si="62"/>
        <v/>
      </c>
      <c r="M388" s="14"/>
      <c r="N388" s="14"/>
      <c r="O388" t="str">
        <f t="shared" si="63"/>
        <v/>
      </c>
      <c r="R388" s="14"/>
      <c r="S388" s="14"/>
      <c r="T388" t="str">
        <f t="shared" si="57"/>
        <v/>
      </c>
      <c r="U388" s="16" t="str">
        <f t="shared" si="58"/>
        <v/>
      </c>
      <c r="V388" t="str">
        <f>IF(L388="","",COUNTIF($L$354:L388,"Y"))</f>
        <v/>
      </c>
      <c r="W388" t="str">
        <f t="shared" si="64"/>
        <v/>
      </c>
      <c r="X388" t="str">
        <f t="shared" si="59"/>
        <v/>
      </c>
      <c r="Y388" s="14" t="str">
        <f t="shared" si="60"/>
        <v/>
      </c>
      <c r="Z388" s="14" t="str">
        <f t="shared" si="61"/>
        <v/>
      </c>
      <c r="AA388" s="15" t="str">
        <f t="shared" si="56"/>
        <v/>
      </c>
    </row>
    <row r="389" spans="1:27" ht="15.75" x14ac:dyDescent="0.25">
      <c r="A389" s="3" t="s">
        <v>671</v>
      </c>
      <c r="B389" s="3" t="s">
        <v>672</v>
      </c>
      <c r="C389" s="3">
        <v>31.828423999999998</v>
      </c>
      <c r="D389" s="3">
        <v>-99.423199999999994</v>
      </c>
      <c r="E389" s="3" t="s">
        <v>675</v>
      </c>
      <c r="F389" s="3" t="s">
        <v>1022</v>
      </c>
      <c r="G389" s="3">
        <v>0</v>
      </c>
      <c r="H389" s="65" t="s">
        <v>1137</v>
      </c>
      <c r="I389" s="64" t="s">
        <v>1109</v>
      </c>
      <c r="J389" s="64" t="s">
        <v>1109</v>
      </c>
      <c r="K389" s="3">
        <v>36</v>
      </c>
      <c r="L389" t="str">
        <f t="shared" si="62"/>
        <v/>
      </c>
      <c r="M389" s="14"/>
      <c r="N389" s="14"/>
      <c r="O389" t="str">
        <f t="shared" si="63"/>
        <v/>
      </c>
      <c r="R389" s="14"/>
      <c r="S389" s="14"/>
      <c r="T389" t="str">
        <f t="shared" si="57"/>
        <v/>
      </c>
      <c r="U389" s="16" t="str">
        <f t="shared" si="58"/>
        <v/>
      </c>
      <c r="V389" t="str">
        <f>IF(L389="","",COUNTIF($L$354:L389,"Y"))</f>
        <v/>
      </c>
      <c r="W389" t="str">
        <f t="shared" si="64"/>
        <v/>
      </c>
      <c r="X389" t="str">
        <f t="shared" si="59"/>
        <v/>
      </c>
      <c r="Y389" s="14" t="str">
        <f t="shared" si="60"/>
        <v/>
      </c>
      <c r="Z389" s="14" t="str">
        <f t="shared" si="61"/>
        <v/>
      </c>
      <c r="AA389" s="15" t="str">
        <f t="shared" si="56"/>
        <v/>
      </c>
    </row>
    <row r="390" spans="1:27" ht="15.75" x14ac:dyDescent="0.25">
      <c r="A390" s="3" t="s">
        <v>676</v>
      </c>
      <c r="B390" s="3" t="s">
        <v>677</v>
      </c>
      <c r="C390" s="3">
        <v>31.307162000000002</v>
      </c>
      <c r="D390" s="3">
        <v>-95.492788000000004</v>
      </c>
      <c r="E390" s="3" t="s">
        <v>680</v>
      </c>
      <c r="F390" s="3" t="s">
        <v>1023</v>
      </c>
      <c r="G390" s="3">
        <v>0</v>
      </c>
      <c r="H390" s="65" t="s">
        <v>1137</v>
      </c>
      <c r="I390" s="64" t="s">
        <v>1109</v>
      </c>
      <c r="J390" s="64" t="s">
        <v>1109</v>
      </c>
      <c r="K390" s="3">
        <v>37</v>
      </c>
      <c r="L390" t="str">
        <f t="shared" si="62"/>
        <v/>
      </c>
      <c r="M390" s="14"/>
      <c r="N390" s="14"/>
      <c r="O390" t="str">
        <f t="shared" si="63"/>
        <v/>
      </c>
      <c r="R390" s="14"/>
      <c r="S390" s="14"/>
      <c r="T390" t="str">
        <f t="shared" si="57"/>
        <v/>
      </c>
      <c r="U390" s="16" t="str">
        <f t="shared" si="58"/>
        <v/>
      </c>
      <c r="V390" t="str">
        <f>IF(L390="","",COUNTIF($L$354:L390,"Y"))</f>
        <v/>
      </c>
      <c r="W390" t="str">
        <f t="shared" si="64"/>
        <v/>
      </c>
      <c r="X390" t="str">
        <f t="shared" si="59"/>
        <v/>
      </c>
      <c r="Y390" s="14" t="str">
        <f t="shared" si="60"/>
        <v/>
      </c>
      <c r="Z390" s="14" t="str">
        <f t="shared" si="61"/>
        <v/>
      </c>
      <c r="AA390" s="15" t="str">
        <f t="shared" si="56"/>
        <v/>
      </c>
    </row>
    <row r="391" spans="1:27" ht="15.75" x14ac:dyDescent="0.25">
      <c r="A391" s="3" t="s">
        <v>681</v>
      </c>
      <c r="B391" s="3" t="s">
        <v>682</v>
      </c>
      <c r="C391" s="3">
        <v>32.372425999999997</v>
      </c>
      <c r="D391" s="3">
        <v>-95.609513000000007</v>
      </c>
      <c r="E391" s="3" t="s">
        <v>685</v>
      </c>
      <c r="F391" s="3" t="s">
        <v>1024</v>
      </c>
      <c r="G391" s="3">
        <v>0</v>
      </c>
      <c r="H391" s="65" t="s">
        <v>1137</v>
      </c>
      <c r="I391" s="64" t="s">
        <v>1109</v>
      </c>
      <c r="J391" s="64" t="s">
        <v>1109</v>
      </c>
      <c r="K391" s="3">
        <v>38</v>
      </c>
      <c r="L391" t="str">
        <f t="shared" si="62"/>
        <v/>
      </c>
      <c r="M391" s="14"/>
      <c r="N391" s="14"/>
      <c r="O391" t="str">
        <f t="shared" si="63"/>
        <v/>
      </c>
      <c r="R391" s="14"/>
      <c r="S391" s="14"/>
      <c r="T391" t="str">
        <f t="shared" si="57"/>
        <v/>
      </c>
      <c r="U391" s="16" t="str">
        <f t="shared" si="58"/>
        <v/>
      </c>
      <c r="V391" t="str">
        <f>IF(L391="","",COUNTIF($L$354:L391,"Y"))</f>
        <v/>
      </c>
      <c r="W391" t="str">
        <f t="shared" si="64"/>
        <v/>
      </c>
      <c r="X391" t="str">
        <f t="shared" si="59"/>
        <v/>
      </c>
      <c r="Y391" s="14" t="str">
        <f t="shared" si="60"/>
        <v/>
      </c>
      <c r="Z391" s="14" t="str">
        <f t="shared" si="61"/>
        <v/>
      </c>
      <c r="AA391" s="15" t="str">
        <f t="shared" si="56"/>
        <v/>
      </c>
    </row>
    <row r="392" spans="1:27" ht="15.75" x14ac:dyDescent="0.25">
      <c r="A392" s="3" t="s">
        <v>686</v>
      </c>
      <c r="B392" s="3" t="s">
        <v>687</v>
      </c>
      <c r="C392" s="3">
        <v>32.306519000000002</v>
      </c>
      <c r="D392" s="3">
        <v>-96.006562000000002</v>
      </c>
      <c r="E392" s="3" t="s">
        <v>690</v>
      </c>
      <c r="F392" s="3" t="s">
        <v>1025</v>
      </c>
      <c r="G392" s="3">
        <v>0</v>
      </c>
      <c r="H392" s="65" t="s">
        <v>1137</v>
      </c>
      <c r="I392" s="64" t="s">
        <v>1109</v>
      </c>
      <c r="J392" s="64" t="s">
        <v>1109</v>
      </c>
      <c r="K392" s="3">
        <v>39</v>
      </c>
      <c r="L392" t="str">
        <f t="shared" si="62"/>
        <v/>
      </c>
      <c r="M392" s="14"/>
      <c r="N392" s="14"/>
      <c r="O392" t="str">
        <f t="shared" si="63"/>
        <v/>
      </c>
      <c r="R392" s="14"/>
      <c r="S392" s="14"/>
      <c r="T392" t="str">
        <f t="shared" si="57"/>
        <v/>
      </c>
      <c r="U392" s="16" t="str">
        <f t="shared" si="58"/>
        <v/>
      </c>
      <c r="V392" t="str">
        <f>IF(L392="","",COUNTIF($L$354:L392,"Y"))</f>
        <v/>
      </c>
      <c r="W392" t="str">
        <f t="shared" si="64"/>
        <v/>
      </c>
      <c r="X392" t="str">
        <f t="shared" si="59"/>
        <v/>
      </c>
      <c r="Y392" s="14" t="str">
        <f t="shared" si="60"/>
        <v/>
      </c>
      <c r="Z392" s="14" t="str">
        <f t="shared" si="61"/>
        <v/>
      </c>
      <c r="AA392" s="15" t="str">
        <f t="shared" si="56"/>
        <v/>
      </c>
    </row>
    <row r="393" spans="1:27" ht="15.75" x14ac:dyDescent="0.25">
      <c r="A393" s="3" t="s">
        <v>691</v>
      </c>
      <c r="B393" s="3" t="s">
        <v>692</v>
      </c>
      <c r="C393" s="3">
        <v>29.299282999999999</v>
      </c>
      <c r="D393" s="3">
        <v>-94.786659</v>
      </c>
      <c r="E393" s="3" t="s">
        <v>695</v>
      </c>
      <c r="F393" s="3" t="s">
        <v>1026</v>
      </c>
      <c r="G393" s="3">
        <v>0</v>
      </c>
      <c r="H393" s="65" t="s">
        <v>1137</v>
      </c>
      <c r="I393" s="64" t="s">
        <v>1109</v>
      </c>
      <c r="J393" s="64" t="s">
        <v>1109</v>
      </c>
      <c r="K393" s="3">
        <v>40</v>
      </c>
      <c r="L393" t="str">
        <f t="shared" si="62"/>
        <v/>
      </c>
      <c r="M393" s="14"/>
      <c r="N393" s="14"/>
      <c r="O393" t="str">
        <f t="shared" si="63"/>
        <v/>
      </c>
      <c r="R393" s="14"/>
      <c r="S393" s="14"/>
      <c r="T393" t="str">
        <f t="shared" si="57"/>
        <v/>
      </c>
      <c r="U393" s="16" t="str">
        <f t="shared" si="58"/>
        <v/>
      </c>
      <c r="V393" t="str">
        <f>IF(L393="","",COUNTIF($L$354:L393,"Y"))</f>
        <v/>
      </c>
      <c r="W393" t="str">
        <f t="shared" si="64"/>
        <v/>
      </c>
      <c r="X393" t="str">
        <f t="shared" si="59"/>
        <v/>
      </c>
      <c r="Y393" s="14" t="str">
        <f t="shared" si="60"/>
        <v/>
      </c>
      <c r="Z393" s="14" t="str">
        <f t="shared" si="61"/>
        <v/>
      </c>
      <c r="AA393" s="15" t="str">
        <f t="shared" si="56"/>
        <v/>
      </c>
    </row>
    <row r="394" spans="1:27" ht="15.75" x14ac:dyDescent="0.25">
      <c r="A394" s="3" t="s">
        <v>696</v>
      </c>
      <c r="B394" s="3" t="s">
        <v>697</v>
      </c>
      <c r="C394" s="3">
        <v>34.063723000000003</v>
      </c>
      <c r="D394" s="3">
        <v>-101.8443</v>
      </c>
      <c r="E394" s="3" t="s">
        <v>700</v>
      </c>
      <c r="F394" s="3" t="s">
        <v>1027</v>
      </c>
      <c r="G394" s="3">
        <v>0</v>
      </c>
      <c r="H394" s="65" t="s">
        <v>1137</v>
      </c>
      <c r="I394" s="64" t="s">
        <v>1109</v>
      </c>
      <c r="J394" s="64" t="s">
        <v>1109</v>
      </c>
      <c r="K394" s="3">
        <v>41</v>
      </c>
      <c r="L394" t="str">
        <f t="shared" si="62"/>
        <v/>
      </c>
      <c r="M394" s="14"/>
      <c r="N394" s="14"/>
      <c r="O394" t="str">
        <f t="shared" si="63"/>
        <v/>
      </c>
      <c r="R394" s="14"/>
      <c r="S394" s="14"/>
      <c r="T394" t="str">
        <f t="shared" si="57"/>
        <v/>
      </c>
      <c r="U394" s="16" t="str">
        <f t="shared" si="58"/>
        <v/>
      </c>
      <c r="V394" t="str">
        <f>IF(L394="","",COUNTIF($L$354:L394,"Y"))</f>
        <v/>
      </c>
      <c r="W394" t="str">
        <f t="shared" si="64"/>
        <v/>
      </c>
      <c r="X394" t="str">
        <f t="shared" si="59"/>
        <v/>
      </c>
      <c r="Y394" s="14" t="str">
        <f t="shared" si="60"/>
        <v/>
      </c>
      <c r="Z394" s="14" t="str">
        <f t="shared" si="61"/>
        <v/>
      </c>
      <c r="AA394" s="15" t="str">
        <f t="shared" si="56"/>
        <v/>
      </c>
    </row>
    <row r="395" spans="1:27" ht="15.75" x14ac:dyDescent="0.25">
      <c r="A395" s="3" t="s">
        <v>701</v>
      </c>
      <c r="B395" s="3" t="s">
        <v>702</v>
      </c>
      <c r="C395" s="3">
        <v>26.190290000000001</v>
      </c>
      <c r="D395" s="3">
        <v>-97.706873000000002</v>
      </c>
      <c r="E395" s="3" t="s">
        <v>705</v>
      </c>
      <c r="F395" s="3" t="s">
        <v>1028</v>
      </c>
      <c r="G395" s="3">
        <v>0</v>
      </c>
      <c r="H395" s="65" t="s">
        <v>1137</v>
      </c>
      <c r="I395" s="64" t="s">
        <v>1109</v>
      </c>
      <c r="J395" s="64" t="s">
        <v>1109</v>
      </c>
      <c r="K395" s="3">
        <v>42</v>
      </c>
      <c r="L395" t="str">
        <f t="shared" si="62"/>
        <v/>
      </c>
      <c r="M395" s="14"/>
      <c r="N395" s="14"/>
      <c r="O395" t="str">
        <f t="shared" si="63"/>
        <v/>
      </c>
      <c r="R395" s="14"/>
      <c r="S395" s="14"/>
      <c r="T395" t="str">
        <f t="shared" si="57"/>
        <v/>
      </c>
      <c r="U395" s="16" t="str">
        <f t="shared" si="58"/>
        <v/>
      </c>
      <c r="V395" t="str">
        <f>IF(L395="","",COUNTIF($L$354:L395,"Y"))</f>
        <v/>
      </c>
      <c r="W395" t="str">
        <f t="shared" si="64"/>
        <v/>
      </c>
      <c r="X395" t="str">
        <f t="shared" si="59"/>
        <v/>
      </c>
      <c r="Y395" s="14" t="str">
        <f t="shared" si="60"/>
        <v/>
      </c>
      <c r="Z395" s="14" t="str">
        <f t="shared" si="61"/>
        <v/>
      </c>
      <c r="AA395" s="15" t="str">
        <f t="shared" si="56"/>
        <v/>
      </c>
    </row>
    <row r="396" spans="1:27" ht="15.75" x14ac:dyDescent="0.25">
      <c r="A396" s="3" t="s">
        <v>706</v>
      </c>
      <c r="B396" s="3" t="s">
        <v>707</v>
      </c>
      <c r="C396" s="3">
        <v>30.913941000000001</v>
      </c>
      <c r="D396" s="3">
        <v>-101.901</v>
      </c>
      <c r="E396" s="3" t="s">
        <v>709</v>
      </c>
      <c r="F396" s="3" t="s">
        <v>1029</v>
      </c>
      <c r="G396" s="3">
        <v>0</v>
      </c>
      <c r="H396" s="65" t="s">
        <v>1137</v>
      </c>
      <c r="I396" s="64" t="s">
        <v>1109</v>
      </c>
      <c r="J396" s="64" t="s">
        <v>1109</v>
      </c>
      <c r="K396" s="3">
        <v>43</v>
      </c>
      <c r="L396" t="str">
        <f t="shared" si="62"/>
        <v/>
      </c>
      <c r="M396" s="14"/>
      <c r="N396" s="14"/>
      <c r="O396" t="str">
        <f t="shared" si="63"/>
        <v/>
      </c>
      <c r="R396" s="14"/>
      <c r="S396" s="14"/>
      <c r="T396" t="str">
        <f t="shared" si="57"/>
        <v/>
      </c>
      <c r="U396" s="16" t="str">
        <f t="shared" si="58"/>
        <v/>
      </c>
      <c r="V396" t="str">
        <f>IF(L396="","",COUNTIF($L$354:L396,"Y"))</f>
        <v/>
      </c>
      <c r="W396" t="str">
        <f t="shared" si="64"/>
        <v/>
      </c>
      <c r="X396" t="str">
        <f t="shared" si="59"/>
        <v/>
      </c>
      <c r="Y396" s="14" t="str">
        <f t="shared" si="60"/>
        <v/>
      </c>
      <c r="Z396" s="14" t="str">
        <f t="shared" si="61"/>
        <v/>
      </c>
      <c r="AA396" s="15" t="str">
        <f t="shared" si="56"/>
        <v/>
      </c>
    </row>
    <row r="397" spans="1:27" ht="15.75" x14ac:dyDescent="0.25">
      <c r="A397" s="3" t="s">
        <v>710</v>
      </c>
      <c r="B397" s="3" t="s">
        <v>711</v>
      </c>
      <c r="C397" s="3">
        <v>32.755218999999997</v>
      </c>
      <c r="D397" s="3">
        <v>-94.345341000000005</v>
      </c>
      <c r="E397" s="3" t="s">
        <v>714</v>
      </c>
      <c r="F397" s="3" t="s">
        <v>1030</v>
      </c>
      <c r="G397" s="3">
        <v>0</v>
      </c>
      <c r="H397" s="65" t="s">
        <v>1137</v>
      </c>
      <c r="I397" s="64" t="s">
        <v>1109</v>
      </c>
      <c r="J397" s="64" t="s">
        <v>1109</v>
      </c>
      <c r="K397" s="3">
        <v>44</v>
      </c>
      <c r="L397" t="str">
        <f t="shared" si="62"/>
        <v/>
      </c>
      <c r="M397" s="14"/>
      <c r="N397" s="14"/>
      <c r="O397" t="str">
        <f t="shared" si="63"/>
        <v/>
      </c>
      <c r="R397" s="14"/>
      <c r="S397" s="14"/>
      <c r="T397" t="str">
        <f t="shared" si="57"/>
        <v/>
      </c>
      <c r="U397" s="16" t="str">
        <f t="shared" si="58"/>
        <v/>
      </c>
      <c r="V397" t="str">
        <f>IF(L397="","",COUNTIF($L$354:L397,"Y"))</f>
        <v/>
      </c>
      <c r="W397" t="str">
        <f t="shared" si="64"/>
        <v/>
      </c>
      <c r="X397" t="str">
        <f t="shared" si="59"/>
        <v/>
      </c>
      <c r="Y397" s="14" t="str">
        <f t="shared" si="60"/>
        <v/>
      </c>
      <c r="Z397" s="14" t="str">
        <f t="shared" si="61"/>
        <v/>
      </c>
      <c r="AA397" s="15" t="str">
        <f t="shared" si="56"/>
        <v/>
      </c>
    </row>
    <row r="398" spans="1:27" ht="15.75" x14ac:dyDescent="0.25">
      <c r="A398" s="3" t="s">
        <v>715</v>
      </c>
      <c r="B398" s="3" t="s">
        <v>716</v>
      </c>
      <c r="C398" s="3">
        <v>32.747351000000002</v>
      </c>
      <c r="D398" s="3">
        <v>-101.952359</v>
      </c>
      <c r="E398" s="3" t="s">
        <v>719</v>
      </c>
      <c r="F398" s="3" t="s">
        <v>1031</v>
      </c>
      <c r="G398" s="3">
        <v>0</v>
      </c>
      <c r="H398" s="65" t="s">
        <v>1137</v>
      </c>
      <c r="I398" s="64" t="s">
        <v>1109</v>
      </c>
      <c r="J398" s="64" t="s">
        <v>1109</v>
      </c>
      <c r="K398" s="3">
        <v>45</v>
      </c>
      <c r="L398" t="str">
        <f t="shared" si="62"/>
        <v/>
      </c>
      <c r="M398" s="14"/>
      <c r="N398" s="14"/>
      <c r="O398" t="str">
        <f t="shared" si="63"/>
        <v/>
      </c>
      <c r="R398" s="14"/>
      <c r="S398" s="14"/>
      <c r="T398" t="str">
        <f t="shared" si="57"/>
        <v/>
      </c>
      <c r="U398" s="16" t="str">
        <f t="shared" si="58"/>
        <v/>
      </c>
      <c r="V398" t="str">
        <f>IF(L398="","",COUNTIF($L$354:L398,"Y"))</f>
        <v/>
      </c>
      <c r="W398" t="str">
        <f t="shared" si="64"/>
        <v/>
      </c>
      <c r="X398" t="str">
        <f t="shared" si="59"/>
        <v/>
      </c>
      <c r="Y398" s="14" t="str">
        <f t="shared" si="60"/>
        <v/>
      </c>
      <c r="Z398" s="14" t="str">
        <f t="shared" si="61"/>
        <v/>
      </c>
      <c r="AA398" s="15" t="str">
        <f t="shared" si="56"/>
        <v/>
      </c>
    </row>
    <row r="399" spans="1:27" ht="15.75" x14ac:dyDescent="0.25">
      <c r="A399" s="3" t="s">
        <v>720</v>
      </c>
      <c r="B399" s="3" t="s">
        <v>721</v>
      </c>
      <c r="C399" s="3">
        <v>30.677671</v>
      </c>
      <c r="D399" s="3">
        <v>-99.576662999999996</v>
      </c>
      <c r="E399" s="3" t="s">
        <v>724</v>
      </c>
      <c r="F399" s="3" t="s">
        <v>1032</v>
      </c>
      <c r="G399" s="3">
        <v>0</v>
      </c>
      <c r="H399" s="65" t="s">
        <v>1137</v>
      </c>
      <c r="I399" s="64" t="s">
        <v>1109</v>
      </c>
      <c r="J399" s="64" t="s">
        <v>1109</v>
      </c>
      <c r="K399" s="3">
        <v>46</v>
      </c>
      <c r="L399" t="str">
        <f t="shared" si="62"/>
        <v/>
      </c>
      <c r="M399" s="14"/>
      <c r="N399" s="14"/>
      <c r="O399" t="str">
        <f t="shared" si="63"/>
        <v/>
      </c>
      <c r="R399" s="14"/>
      <c r="S399" s="14"/>
      <c r="T399" t="str">
        <f t="shared" si="57"/>
        <v/>
      </c>
      <c r="U399" s="16" t="str">
        <f t="shared" si="58"/>
        <v/>
      </c>
      <c r="V399" t="str">
        <f>IF(L399="","",COUNTIF($L$354:L399,"Y"))</f>
        <v/>
      </c>
      <c r="W399" t="str">
        <f t="shared" si="64"/>
        <v/>
      </c>
      <c r="X399" t="str">
        <f t="shared" si="59"/>
        <v/>
      </c>
      <c r="Y399" s="14" t="str">
        <f t="shared" si="60"/>
        <v/>
      </c>
      <c r="Z399" s="14" t="str">
        <f t="shared" si="61"/>
        <v/>
      </c>
      <c r="AA399" s="15" t="str">
        <f t="shared" si="56"/>
        <v/>
      </c>
    </row>
    <row r="400" spans="1:27" ht="15.75" x14ac:dyDescent="0.25">
      <c r="A400" s="3" t="s">
        <v>725</v>
      </c>
      <c r="B400" s="3" t="s">
        <v>726</v>
      </c>
      <c r="C400" s="3">
        <v>30.748961000000001</v>
      </c>
      <c r="D400" s="3">
        <v>-99.231080000000006</v>
      </c>
      <c r="E400" s="3" t="s">
        <v>729</v>
      </c>
      <c r="F400" s="3" t="s">
        <v>1033</v>
      </c>
      <c r="G400" s="3">
        <v>0</v>
      </c>
      <c r="H400" s="65" t="s">
        <v>1137</v>
      </c>
      <c r="I400" s="64" t="s">
        <v>1109</v>
      </c>
      <c r="J400" s="64" t="s">
        <v>1109</v>
      </c>
      <c r="K400" s="3">
        <v>47</v>
      </c>
      <c r="L400" t="str">
        <f t="shared" si="62"/>
        <v/>
      </c>
      <c r="M400" s="14"/>
      <c r="N400" s="14"/>
      <c r="O400" t="str">
        <f t="shared" si="63"/>
        <v/>
      </c>
      <c r="R400" s="14"/>
      <c r="S400" s="14"/>
      <c r="T400" t="str">
        <f t="shared" si="57"/>
        <v/>
      </c>
      <c r="U400" s="16" t="str">
        <f t="shared" si="58"/>
        <v/>
      </c>
      <c r="V400" t="str">
        <f>IF(L400="","",COUNTIF($L$354:L400,"Y"))</f>
        <v/>
      </c>
      <c r="W400" t="str">
        <f t="shared" si="64"/>
        <v/>
      </c>
      <c r="X400" t="str">
        <f t="shared" si="59"/>
        <v/>
      </c>
      <c r="Y400" s="14" t="str">
        <f t="shared" si="60"/>
        <v/>
      </c>
      <c r="Z400" s="14" t="str">
        <f t="shared" si="61"/>
        <v/>
      </c>
      <c r="AA400" s="15" t="str">
        <f t="shared" si="56"/>
        <v/>
      </c>
    </row>
    <row r="401" spans="1:27" ht="15.75" x14ac:dyDescent="0.25">
      <c r="A401" s="3" t="s">
        <v>730</v>
      </c>
      <c r="B401" s="3" t="s">
        <v>731</v>
      </c>
      <c r="C401" s="3">
        <v>31.441797000000001</v>
      </c>
      <c r="D401" s="3">
        <v>-97.416860999999997</v>
      </c>
      <c r="E401" s="3" t="s">
        <v>734</v>
      </c>
      <c r="F401" s="3" t="s">
        <v>1034</v>
      </c>
      <c r="G401" s="3">
        <v>0</v>
      </c>
      <c r="H401" s="65" t="s">
        <v>1137</v>
      </c>
      <c r="I401" s="64" t="s">
        <v>1109</v>
      </c>
      <c r="J401" s="64" t="s">
        <v>1109</v>
      </c>
      <c r="K401" s="3">
        <v>48</v>
      </c>
      <c r="L401" t="str">
        <f t="shared" si="62"/>
        <v/>
      </c>
      <c r="M401" s="14"/>
      <c r="N401" s="14"/>
      <c r="O401" t="str">
        <f t="shared" si="63"/>
        <v/>
      </c>
      <c r="R401" s="14"/>
      <c r="S401" s="14"/>
      <c r="T401" t="str">
        <f t="shared" si="57"/>
        <v/>
      </c>
      <c r="U401" s="16" t="str">
        <f t="shared" si="58"/>
        <v/>
      </c>
      <c r="V401" t="str">
        <f>IF(L401="","",COUNTIF($L$354:L401,"Y"))</f>
        <v/>
      </c>
      <c r="W401" t="str">
        <f t="shared" si="64"/>
        <v/>
      </c>
      <c r="X401" t="str">
        <f t="shared" si="59"/>
        <v/>
      </c>
      <c r="Y401" s="14" t="str">
        <f t="shared" si="60"/>
        <v/>
      </c>
      <c r="Z401" s="14" t="str">
        <f t="shared" si="61"/>
        <v/>
      </c>
      <c r="AA401" s="15" t="str">
        <f t="shared" si="56"/>
        <v/>
      </c>
    </row>
    <row r="402" spans="1:27" ht="15.75" x14ac:dyDescent="0.25">
      <c r="A402" s="3" t="s">
        <v>735</v>
      </c>
      <c r="B402" s="3" t="s">
        <v>736</v>
      </c>
      <c r="C402" s="3">
        <v>29.590686000000002</v>
      </c>
      <c r="D402" s="3">
        <v>-98.038651000000002</v>
      </c>
      <c r="E402" s="3" t="s">
        <v>739</v>
      </c>
      <c r="F402" s="3" t="s">
        <v>1035</v>
      </c>
      <c r="G402" s="3">
        <v>0</v>
      </c>
      <c r="H402" s="65" t="s">
        <v>1137</v>
      </c>
      <c r="I402" s="64" t="s">
        <v>1109</v>
      </c>
      <c r="J402" s="64" t="s">
        <v>1109</v>
      </c>
      <c r="K402" s="3">
        <v>49</v>
      </c>
      <c r="L402" t="str">
        <f t="shared" si="62"/>
        <v/>
      </c>
      <c r="M402" s="14"/>
      <c r="N402" s="14"/>
      <c r="O402" t="str">
        <f t="shared" si="63"/>
        <v/>
      </c>
      <c r="R402" s="14"/>
      <c r="S402" s="14"/>
      <c r="T402" t="str">
        <f t="shared" si="57"/>
        <v/>
      </c>
      <c r="U402" s="16" t="str">
        <f t="shared" si="58"/>
        <v/>
      </c>
      <c r="V402" t="str">
        <f>IF(L402="","",COUNTIF($L$354:L402,"Y"))</f>
        <v/>
      </c>
      <c r="W402" t="str">
        <f t="shared" si="64"/>
        <v/>
      </c>
      <c r="X402" t="str">
        <f t="shared" si="59"/>
        <v/>
      </c>
      <c r="Y402" s="14" t="str">
        <f t="shared" si="60"/>
        <v/>
      </c>
      <c r="Z402" s="14" t="str">
        <f t="shared" si="61"/>
        <v/>
      </c>
      <c r="AA402" s="15" t="str">
        <f t="shared" si="56"/>
        <v/>
      </c>
    </row>
    <row r="403" spans="1:27" ht="15.75" x14ac:dyDescent="0.25">
      <c r="A403" s="3" t="s">
        <v>740</v>
      </c>
      <c r="B403" s="3" t="s">
        <v>741</v>
      </c>
      <c r="C403" s="3">
        <v>31.965385999999999</v>
      </c>
      <c r="D403" s="3">
        <v>-102.1062</v>
      </c>
      <c r="E403" s="3" t="s">
        <v>744</v>
      </c>
      <c r="F403" s="3" t="s">
        <v>1036</v>
      </c>
      <c r="G403" s="3">
        <v>0</v>
      </c>
      <c r="H403" s="65" t="s">
        <v>1137</v>
      </c>
      <c r="I403" s="64" t="s">
        <v>1109</v>
      </c>
      <c r="J403" s="64" t="s">
        <v>1109</v>
      </c>
      <c r="K403" s="3">
        <v>50</v>
      </c>
      <c r="L403" t="str">
        <f t="shared" si="62"/>
        <v/>
      </c>
      <c r="M403" s="14"/>
      <c r="N403" s="14"/>
      <c r="O403" t="str">
        <f t="shared" si="63"/>
        <v/>
      </c>
      <c r="R403" s="14"/>
      <c r="S403" s="14"/>
      <c r="T403" t="str">
        <f t="shared" si="57"/>
        <v/>
      </c>
      <c r="U403" s="16" t="str">
        <f t="shared" si="58"/>
        <v/>
      </c>
      <c r="V403" t="str">
        <f>IF(L403="","",COUNTIF($L$354:L403,"Y"))</f>
        <v/>
      </c>
      <c r="W403" t="str">
        <f t="shared" si="64"/>
        <v/>
      </c>
      <c r="X403" t="str">
        <f t="shared" si="59"/>
        <v/>
      </c>
      <c r="Y403" s="14" t="str">
        <f t="shared" si="60"/>
        <v/>
      </c>
      <c r="Z403" s="14" t="str">
        <f t="shared" si="61"/>
        <v/>
      </c>
      <c r="AA403" s="15" t="str">
        <f t="shared" si="56"/>
        <v/>
      </c>
    </row>
    <row r="404" spans="1:27" ht="15.75" x14ac:dyDescent="0.25">
      <c r="A404" s="3" t="s">
        <v>745</v>
      </c>
      <c r="B404" s="3" t="s">
        <v>746</v>
      </c>
      <c r="C404" s="3">
        <v>30.246628000000001</v>
      </c>
      <c r="D404" s="3">
        <v>-94.741636</v>
      </c>
      <c r="E404" s="3" t="s">
        <v>749</v>
      </c>
      <c r="F404" s="3" t="s">
        <v>1037</v>
      </c>
      <c r="G404" s="3">
        <v>0</v>
      </c>
      <c r="H404" s="65" t="s">
        <v>1137</v>
      </c>
      <c r="I404" s="64" t="s">
        <v>1109</v>
      </c>
      <c r="J404" s="64" t="s">
        <v>1109</v>
      </c>
      <c r="K404" s="3">
        <v>51</v>
      </c>
      <c r="L404" t="str">
        <f t="shared" si="62"/>
        <v/>
      </c>
      <c r="M404" s="14"/>
      <c r="N404" s="14"/>
      <c r="O404" t="str">
        <f t="shared" si="63"/>
        <v/>
      </c>
      <c r="R404" s="14"/>
      <c r="S404" s="14"/>
      <c r="T404" t="str">
        <f t="shared" si="57"/>
        <v/>
      </c>
      <c r="U404" s="16" t="str">
        <f t="shared" si="58"/>
        <v/>
      </c>
      <c r="V404" t="str">
        <f>IF(L404="","",COUNTIF($L$354:L404,"Y"))</f>
        <v/>
      </c>
      <c r="W404" t="str">
        <f t="shared" si="64"/>
        <v/>
      </c>
      <c r="X404" t="str">
        <f t="shared" si="59"/>
        <v/>
      </c>
      <c r="Y404" s="14" t="str">
        <f t="shared" si="60"/>
        <v/>
      </c>
      <c r="Z404" s="14" t="str">
        <f t="shared" si="61"/>
        <v/>
      </c>
      <c r="AA404" s="15" t="str">
        <f t="shared" si="56"/>
        <v/>
      </c>
    </row>
    <row r="405" spans="1:27" ht="15.75" x14ac:dyDescent="0.25">
      <c r="A405" s="3" t="s">
        <v>750</v>
      </c>
      <c r="B405" s="3" t="s">
        <v>751</v>
      </c>
      <c r="C405" s="3">
        <v>33.662970999999999</v>
      </c>
      <c r="D405" s="3">
        <v>-95.558655999999999</v>
      </c>
      <c r="E405" s="3" t="s">
        <v>754</v>
      </c>
      <c r="F405" s="3" t="s">
        <v>1038</v>
      </c>
      <c r="G405" s="3">
        <v>0</v>
      </c>
      <c r="H405" s="65" t="s">
        <v>1137</v>
      </c>
      <c r="I405" s="64" t="s">
        <v>1109</v>
      </c>
      <c r="J405" s="64" t="s">
        <v>1109</v>
      </c>
      <c r="K405" s="3">
        <v>52</v>
      </c>
      <c r="L405" t="str">
        <f t="shared" si="62"/>
        <v/>
      </c>
      <c r="M405" s="14"/>
      <c r="N405" s="14"/>
      <c r="O405" t="str">
        <f t="shared" si="63"/>
        <v/>
      </c>
      <c r="R405" s="14"/>
      <c r="S405" s="14"/>
      <c r="T405" t="str">
        <f t="shared" si="57"/>
        <v/>
      </c>
      <c r="U405" s="16" t="str">
        <f t="shared" si="58"/>
        <v/>
      </c>
      <c r="V405" t="str">
        <f>IF(L405="","",COUNTIF($L$354:L405,"Y"))</f>
        <v/>
      </c>
      <c r="W405" t="str">
        <f t="shared" si="64"/>
        <v/>
      </c>
      <c r="X405" t="str">
        <f t="shared" si="59"/>
        <v/>
      </c>
      <c r="Y405" s="14" t="str">
        <f t="shared" si="60"/>
        <v/>
      </c>
      <c r="Z405" s="14" t="str">
        <f t="shared" si="61"/>
        <v/>
      </c>
      <c r="AA405" s="15" t="str">
        <f t="shared" si="56"/>
        <v/>
      </c>
    </row>
    <row r="406" spans="1:27" ht="15.75" x14ac:dyDescent="0.25">
      <c r="A406" s="3" t="s">
        <v>755</v>
      </c>
      <c r="B406" s="3" t="s">
        <v>756</v>
      </c>
      <c r="C406" s="3">
        <v>26.381633999999998</v>
      </c>
      <c r="D406" s="3">
        <v>-98.825329999999994</v>
      </c>
      <c r="E406" s="3" t="s">
        <v>759</v>
      </c>
      <c r="F406" s="3" t="s">
        <v>1039</v>
      </c>
      <c r="G406" s="3">
        <v>0</v>
      </c>
      <c r="H406" s="65" t="s">
        <v>1137</v>
      </c>
      <c r="I406" s="64" t="s">
        <v>1109</v>
      </c>
      <c r="J406" s="64" t="s">
        <v>1109</v>
      </c>
      <c r="K406" s="3">
        <v>53</v>
      </c>
      <c r="L406" t="str">
        <f t="shared" si="62"/>
        <v/>
      </c>
      <c r="M406" s="14"/>
      <c r="N406" s="14"/>
      <c r="O406" t="str">
        <f t="shared" si="63"/>
        <v/>
      </c>
      <c r="R406" s="14"/>
      <c r="S406" s="14"/>
      <c r="T406" t="str">
        <f t="shared" si="57"/>
        <v/>
      </c>
      <c r="U406" s="16" t="str">
        <f t="shared" si="58"/>
        <v/>
      </c>
      <c r="V406" t="str">
        <f>IF(L406="","",COUNTIF($L$354:L406,"Y"))</f>
        <v/>
      </c>
      <c r="W406" t="str">
        <f t="shared" si="64"/>
        <v/>
      </c>
      <c r="X406" t="str">
        <f t="shared" si="59"/>
        <v/>
      </c>
      <c r="Y406" s="14" t="str">
        <f t="shared" si="60"/>
        <v/>
      </c>
      <c r="Z406" s="14" t="str">
        <f t="shared" si="61"/>
        <v/>
      </c>
      <c r="AA406" s="15" t="str">
        <f t="shared" si="56"/>
        <v/>
      </c>
    </row>
    <row r="407" spans="1:27" ht="15.75" x14ac:dyDescent="0.25">
      <c r="A407" s="3" t="s">
        <v>760</v>
      </c>
      <c r="B407" s="3" t="s">
        <v>761</v>
      </c>
      <c r="C407" s="3">
        <v>31.095687000000002</v>
      </c>
      <c r="D407" s="3">
        <v>-96.980987999999996</v>
      </c>
      <c r="E407" s="3" t="s">
        <v>764</v>
      </c>
      <c r="F407" s="3" t="s">
        <v>1040</v>
      </c>
      <c r="G407" s="3">
        <v>1500</v>
      </c>
      <c r="H407" s="65" t="s">
        <v>1137</v>
      </c>
      <c r="I407" s="64" t="s">
        <v>1109</v>
      </c>
      <c r="J407" s="64" t="s">
        <v>1109</v>
      </c>
      <c r="K407" s="3">
        <v>54</v>
      </c>
      <c r="L407" t="str">
        <f t="shared" si="62"/>
        <v/>
      </c>
      <c r="M407" s="14"/>
      <c r="N407" s="14"/>
      <c r="O407" t="str">
        <f t="shared" si="63"/>
        <v/>
      </c>
      <c r="R407" s="14"/>
      <c r="S407" s="14"/>
      <c r="T407" t="str">
        <f t="shared" si="57"/>
        <v/>
      </c>
      <c r="U407" s="16" t="str">
        <f t="shared" si="58"/>
        <v/>
      </c>
      <c r="V407" t="str">
        <f>IF(L407="","",COUNTIF($L$354:L407,"Y"))</f>
        <v/>
      </c>
      <c r="W407" t="str">
        <f t="shared" si="64"/>
        <v/>
      </c>
      <c r="X407" t="str">
        <f t="shared" si="59"/>
        <v/>
      </c>
      <c r="Y407" s="14" t="str">
        <f t="shared" si="60"/>
        <v/>
      </c>
      <c r="Z407" s="14" t="str">
        <f t="shared" si="61"/>
        <v/>
      </c>
      <c r="AA407" s="15" t="str">
        <f t="shared" si="56"/>
        <v/>
      </c>
    </row>
    <row r="408" spans="1:27" ht="15.75" x14ac:dyDescent="0.25">
      <c r="A408" s="3" t="s">
        <v>765</v>
      </c>
      <c r="B408" s="3" t="s">
        <v>766</v>
      </c>
      <c r="C408" s="3">
        <v>29.497855000000001</v>
      </c>
      <c r="D408" s="3">
        <v>-98.479517000000001</v>
      </c>
      <c r="E408" s="3" t="s">
        <v>769</v>
      </c>
      <c r="F408" s="3" t="s">
        <v>1041</v>
      </c>
      <c r="G408" s="3">
        <v>0</v>
      </c>
      <c r="H408" s="65" t="s">
        <v>1137</v>
      </c>
      <c r="I408" s="64" t="s">
        <v>1109</v>
      </c>
      <c r="J408" s="64" t="s">
        <v>1109</v>
      </c>
      <c r="K408" s="3">
        <v>55</v>
      </c>
      <c r="L408" t="str">
        <f t="shared" si="62"/>
        <v/>
      </c>
      <c r="M408" s="14"/>
      <c r="N408" s="14"/>
      <c r="O408" t="str">
        <f t="shared" si="63"/>
        <v/>
      </c>
      <c r="R408" s="14"/>
      <c r="S408" s="14"/>
      <c r="T408" t="str">
        <f t="shared" si="57"/>
        <v/>
      </c>
      <c r="U408" s="16" t="str">
        <f t="shared" si="58"/>
        <v/>
      </c>
      <c r="V408" t="str">
        <f>IF(L408="","",COUNTIF($L$354:L408,"Y"))</f>
        <v/>
      </c>
      <c r="W408" t="str">
        <f t="shared" si="64"/>
        <v/>
      </c>
      <c r="X408" t="str">
        <f t="shared" si="59"/>
        <v/>
      </c>
      <c r="Y408" s="14" t="str">
        <f t="shared" si="60"/>
        <v/>
      </c>
      <c r="Z408" s="14" t="str">
        <f t="shared" si="61"/>
        <v/>
      </c>
      <c r="AA408" s="15" t="str">
        <f t="shared" si="56"/>
        <v/>
      </c>
    </row>
    <row r="409" spans="1:27" ht="15.75" x14ac:dyDescent="0.25">
      <c r="A409" s="3" t="s">
        <v>770</v>
      </c>
      <c r="B409" s="3" t="s">
        <v>771</v>
      </c>
      <c r="C409" s="3">
        <v>27.763286000000001</v>
      </c>
      <c r="D409" s="3">
        <v>-98.234438999999995</v>
      </c>
      <c r="E409" s="3" t="s">
        <v>774</v>
      </c>
      <c r="F409" s="3" t="s">
        <v>1042</v>
      </c>
      <c r="G409" s="3">
        <v>0</v>
      </c>
      <c r="H409" s="65" t="s">
        <v>1137</v>
      </c>
      <c r="I409" s="64" t="s">
        <v>1109</v>
      </c>
      <c r="J409" s="64" t="s">
        <v>1109</v>
      </c>
      <c r="K409" s="3">
        <v>56</v>
      </c>
      <c r="L409" t="str">
        <f t="shared" si="62"/>
        <v/>
      </c>
      <c r="M409" s="14"/>
      <c r="N409" s="14"/>
      <c r="O409" t="str">
        <f t="shared" si="63"/>
        <v/>
      </c>
      <c r="R409" s="14"/>
      <c r="S409" s="14"/>
      <c r="T409" t="str">
        <f t="shared" si="57"/>
        <v/>
      </c>
      <c r="U409" s="16" t="str">
        <f t="shared" si="58"/>
        <v/>
      </c>
      <c r="V409" t="str">
        <f>IF(L409="","",COUNTIF($L$354:L409,"Y"))</f>
        <v/>
      </c>
      <c r="W409" t="str">
        <f t="shared" si="64"/>
        <v/>
      </c>
      <c r="X409" t="str">
        <f t="shared" si="59"/>
        <v/>
      </c>
      <c r="Y409" s="14" t="str">
        <f t="shared" si="60"/>
        <v/>
      </c>
      <c r="Z409" s="14" t="str">
        <f t="shared" si="61"/>
        <v/>
      </c>
      <c r="AA409" s="15" t="str">
        <f t="shared" si="56"/>
        <v/>
      </c>
    </row>
    <row r="410" spans="1:27" ht="15.75" x14ac:dyDescent="0.25">
      <c r="A410" s="3" t="s">
        <v>775</v>
      </c>
      <c r="B410" s="3" t="s">
        <v>776</v>
      </c>
      <c r="C410" s="3">
        <v>32.221668999999999</v>
      </c>
      <c r="D410" s="3">
        <v>-98.199678000000006</v>
      </c>
      <c r="E410" s="3" t="s">
        <v>779</v>
      </c>
      <c r="F410" s="3" t="s">
        <v>1043</v>
      </c>
      <c r="G410" s="3">
        <v>0</v>
      </c>
      <c r="H410" s="65" t="s">
        <v>1137</v>
      </c>
      <c r="I410" s="64" t="s">
        <v>1109</v>
      </c>
      <c r="J410" s="64" t="s">
        <v>1109</v>
      </c>
      <c r="K410" s="3">
        <v>57</v>
      </c>
      <c r="L410" t="str">
        <f t="shared" si="62"/>
        <v/>
      </c>
      <c r="M410" s="14"/>
      <c r="N410" s="14"/>
      <c r="O410" t="str">
        <f t="shared" si="63"/>
        <v/>
      </c>
      <c r="R410" s="14"/>
      <c r="S410" s="14"/>
      <c r="T410" t="str">
        <f t="shared" si="57"/>
        <v/>
      </c>
      <c r="U410" s="16" t="str">
        <f t="shared" si="58"/>
        <v/>
      </c>
      <c r="V410" t="str">
        <f>IF(L410="","",COUNTIF($L$354:L410,"Y"))</f>
        <v/>
      </c>
      <c r="W410" t="str">
        <f t="shared" si="64"/>
        <v/>
      </c>
      <c r="X410" t="str">
        <f t="shared" si="59"/>
        <v/>
      </c>
      <c r="Y410" s="14" t="str">
        <f t="shared" si="60"/>
        <v/>
      </c>
      <c r="Z410" s="14" t="str">
        <f t="shared" si="61"/>
        <v/>
      </c>
      <c r="AA410" s="15" t="str">
        <f t="shared" si="56"/>
        <v/>
      </c>
    </row>
    <row r="411" spans="1:27" ht="15.75" x14ac:dyDescent="0.25">
      <c r="A411" s="3" t="s">
        <v>780</v>
      </c>
      <c r="B411" s="3" t="s">
        <v>781</v>
      </c>
      <c r="C411" s="3">
        <v>32.476591999999997</v>
      </c>
      <c r="D411" s="3">
        <v>-100.394837</v>
      </c>
      <c r="E411" s="3" t="s">
        <v>784</v>
      </c>
      <c r="F411" s="3" t="s">
        <v>1044</v>
      </c>
      <c r="G411" s="3">
        <v>0</v>
      </c>
      <c r="H411" s="65" t="s">
        <v>1137</v>
      </c>
      <c r="I411" s="64" t="s">
        <v>1109</v>
      </c>
      <c r="J411" s="64" t="s">
        <v>1109</v>
      </c>
      <c r="K411" s="3">
        <v>58</v>
      </c>
      <c r="L411" t="str">
        <f t="shared" si="62"/>
        <v/>
      </c>
      <c r="M411" s="14"/>
      <c r="N411" s="14"/>
      <c r="O411" t="str">
        <f t="shared" si="63"/>
        <v/>
      </c>
      <c r="R411" s="14"/>
      <c r="S411" s="14"/>
      <c r="T411" t="str">
        <f t="shared" si="57"/>
        <v/>
      </c>
      <c r="U411" s="16" t="str">
        <f t="shared" si="58"/>
        <v/>
      </c>
      <c r="V411" t="str">
        <f>IF(L411="","",COUNTIF($L$354:L411,"Y"))</f>
        <v/>
      </c>
      <c r="W411" t="str">
        <f t="shared" si="64"/>
        <v/>
      </c>
      <c r="X411" t="str">
        <f t="shared" si="59"/>
        <v/>
      </c>
      <c r="Y411" s="14" t="str">
        <f t="shared" si="60"/>
        <v/>
      </c>
      <c r="Z411" s="14" t="str">
        <f t="shared" si="61"/>
        <v/>
      </c>
      <c r="AA411" s="15" t="str">
        <f t="shared" si="56"/>
        <v/>
      </c>
    </row>
    <row r="412" spans="1:27" ht="15.75" x14ac:dyDescent="0.25">
      <c r="A412" s="3" t="s">
        <v>785</v>
      </c>
      <c r="B412" s="3" t="s">
        <v>786</v>
      </c>
      <c r="C412" s="3">
        <v>35.444873999999999</v>
      </c>
      <c r="D412" s="3">
        <v>-100.28172499999999</v>
      </c>
      <c r="E412" s="3" t="s">
        <v>789</v>
      </c>
      <c r="F412" s="3" t="s">
        <v>1045</v>
      </c>
      <c r="G412" s="3">
        <v>0</v>
      </c>
      <c r="H412" s="65" t="s">
        <v>1137</v>
      </c>
      <c r="I412" s="64" t="s">
        <v>1109</v>
      </c>
      <c r="J412" s="64" t="s">
        <v>1109</v>
      </c>
      <c r="K412" s="3">
        <v>59</v>
      </c>
      <c r="L412" t="str">
        <f t="shared" si="62"/>
        <v/>
      </c>
      <c r="M412" s="14"/>
      <c r="N412" s="14"/>
      <c r="O412" t="str">
        <f t="shared" si="63"/>
        <v/>
      </c>
      <c r="R412" s="14"/>
      <c r="S412" s="14"/>
      <c r="T412" t="str">
        <f t="shared" si="57"/>
        <v/>
      </c>
      <c r="U412" s="16" t="str">
        <f t="shared" si="58"/>
        <v/>
      </c>
      <c r="V412" t="str">
        <f>IF(L412="","",COUNTIF($L$354:L412,"Y"))</f>
        <v/>
      </c>
      <c r="W412" t="str">
        <f t="shared" si="64"/>
        <v/>
      </c>
      <c r="X412" t="str">
        <f t="shared" si="59"/>
        <v/>
      </c>
      <c r="Y412" s="14" t="str">
        <f t="shared" si="60"/>
        <v/>
      </c>
      <c r="Z412" s="14" t="str">
        <f t="shared" si="61"/>
        <v/>
      </c>
      <c r="AA412" s="15" t="str">
        <f t="shared" si="56"/>
        <v/>
      </c>
    </row>
    <row r="413" spans="1:27" ht="15.75" x14ac:dyDescent="0.25">
      <c r="A413" s="3" t="s">
        <v>790</v>
      </c>
      <c r="B413" s="3" t="s">
        <v>791</v>
      </c>
      <c r="C413" s="3">
        <v>33.716588000000002</v>
      </c>
      <c r="D413" s="3">
        <v>-96.904617000000002</v>
      </c>
      <c r="E413" s="3" t="s">
        <v>794</v>
      </c>
      <c r="F413" s="3" t="s">
        <v>1046</v>
      </c>
      <c r="G413" s="3">
        <v>1500</v>
      </c>
      <c r="H413" s="65" t="s">
        <v>1137</v>
      </c>
      <c r="I413" s="64" t="s">
        <v>1109</v>
      </c>
      <c r="J413" s="64" t="s">
        <v>1109</v>
      </c>
      <c r="K413" s="3">
        <v>60</v>
      </c>
      <c r="L413" t="str">
        <f t="shared" si="62"/>
        <v/>
      </c>
      <c r="M413" s="14"/>
      <c r="N413" s="14"/>
      <c r="O413" t="str">
        <f t="shared" si="63"/>
        <v/>
      </c>
      <c r="R413" s="14"/>
      <c r="S413" s="14"/>
      <c r="T413" t="str">
        <f t="shared" si="57"/>
        <v/>
      </c>
      <c r="U413" s="16" t="str">
        <f t="shared" si="58"/>
        <v/>
      </c>
      <c r="V413" t="str">
        <f>IF(L413="","",COUNTIF($L$354:L413,"Y"))</f>
        <v/>
      </c>
      <c r="W413" t="str">
        <f t="shared" si="64"/>
        <v/>
      </c>
      <c r="X413" t="str">
        <f t="shared" si="59"/>
        <v/>
      </c>
      <c r="Y413" s="14" t="str">
        <f t="shared" si="60"/>
        <v/>
      </c>
      <c r="Z413" s="14" t="str">
        <f t="shared" si="61"/>
        <v/>
      </c>
      <c r="AA413" s="15" t="str">
        <f t="shared" si="56"/>
        <v/>
      </c>
    </row>
    <row r="414" spans="1:27" ht="15.75" x14ac:dyDescent="0.25">
      <c r="A414" s="3" t="s">
        <v>795</v>
      </c>
      <c r="B414" s="3" t="s">
        <v>796</v>
      </c>
      <c r="C414" s="3">
        <v>33.912886</v>
      </c>
      <c r="D414" s="3">
        <v>-98.490127999999999</v>
      </c>
      <c r="E414" s="3" t="s">
        <v>799</v>
      </c>
      <c r="F414" s="3" t="s">
        <v>1047</v>
      </c>
      <c r="G414" s="3">
        <v>0</v>
      </c>
      <c r="H414" s="65" t="s">
        <v>1137</v>
      </c>
      <c r="I414" s="64" t="s">
        <v>1109</v>
      </c>
      <c r="J414" s="64" t="s">
        <v>1109</v>
      </c>
      <c r="K414" s="3">
        <v>61</v>
      </c>
      <c r="L414" t="str">
        <f t="shared" si="62"/>
        <v/>
      </c>
      <c r="M414" s="14"/>
      <c r="N414" s="14"/>
      <c r="O414" t="str">
        <f t="shared" si="63"/>
        <v/>
      </c>
      <c r="R414" s="14"/>
      <c r="S414" s="14"/>
      <c r="T414" t="str">
        <f t="shared" si="57"/>
        <v/>
      </c>
      <c r="U414" s="16" t="str">
        <f t="shared" si="58"/>
        <v/>
      </c>
      <c r="V414" t="str">
        <f>IF(L414="","",COUNTIF($L$354:L414,"Y"))</f>
        <v/>
      </c>
      <c r="W414" t="str">
        <f t="shared" si="64"/>
        <v/>
      </c>
      <c r="X414" t="str">
        <f t="shared" si="59"/>
        <v/>
      </c>
      <c r="Y414" s="14" t="str">
        <f t="shared" si="60"/>
        <v/>
      </c>
      <c r="Z414" s="14" t="str">
        <f t="shared" si="61"/>
        <v/>
      </c>
      <c r="AA414" s="15" t="str">
        <f t="shared" si="56"/>
        <v/>
      </c>
    </row>
    <row r="415" spans="1:27" ht="15.75" x14ac:dyDescent="0.25">
      <c r="A415" s="3" t="s">
        <v>800</v>
      </c>
      <c r="B415" s="3" t="s">
        <v>801</v>
      </c>
      <c r="C415" s="3">
        <v>30.776917999999998</v>
      </c>
      <c r="D415" s="3">
        <v>-94.406785999999997</v>
      </c>
      <c r="E415" s="3" t="s">
        <v>804</v>
      </c>
      <c r="F415" s="3" t="s">
        <v>1048</v>
      </c>
      <c r="G415" s="3">
        <v>0</v>
      </c>
      <c r="H415" s="65" t="s">
        <v>1137</v>
      </c>
      <c r="I415" s="64" t="s">
        <v>1109</v>
      </c>
      <c r="J415" s="64" t="s">
        <v>1109</v>
      </c>
      <c r="K415" s="3">
        <v>62</v>
      </c>
      <c r="L415" t="str">
        <f t="shared" si="62"/>
        <v/>
      </c>
      <c r="M415" s="14"/>
      <c r="N415" s="14"/>
      <c r="O415" t="str">
        <f t="shared" si="63"/>
        <v/>
      </c>
      <c r="R415" s="14"/>
      <c r="S415" s="14"/>
      <c r="T415" t="str">
        <f t="shared" si="57"/>
        <v/>
      </c>
      <c r="U415" s="16" t="str">
        <f t="shared" si="58"/>
        <v/>
      </c>
      <c r="V415" t="str">
        <f>IF(L415="","",COUNTIF($L$354:L415,"Y"))</f>
        <v/>
      </c>
      <c r="W415" t="str">
        <f t="shared" si="64"/>
        <v/>
      </c>
      <c r="X415" t="str">
        <f t="shared" si="59"/>
        <v/>
      </c>
      <c r="Y415" s="14" t="str">
        <f t="shared" si="60"/>
        <v/>
      </c>
      <c r="Z415" s="14" t="str">
        <f t="shared" si="61"/>
        <v/>
      </c>
      <c r="AA415" s="15" t="str">
        <f t="shared" si="56"/>
        <v/>
      </c>
    </row>
    <row r="416" spans="1:27" ht="15.75" x14ac:dyDescent="0.25">
      <c r="A416" s="3" t="s">
        <v>805</v>
      </c>
      <c r="B416" s="3" t="s">
        <v>806</v>
      </c>
      <c r="C416" s="3">
        <v>31.791363</v>
      </c>
      <c r="D416" s="3">
        <v>-96.462843000000007</v>
      </c>
      <c r="E416" s="3" t="s">
        <v>809</v>
      </c>
      <c r="F416" s="3" t="s">
        <v>1049</v>
      </c>
      <c r="G416" s="3">
        <v>0</v>
      </c>
      <c r="H416" s="65" t="s">
        <v>1137</v>
      </c>
      <c r="I416" s="64" t="s">
        <v>1109</v>
      </c>
      <c r="J416" s="64" t="s">
        <v>1109</v>
      </c>
      <c r="K416" s="3">
        <v>63</v>
      </c>
      <c r="L416" t="str">
        <f t="shared" si="62"/>
        <v/>
      </c>
      <c r="M416" s="14"/>
      <c r="N416" s="14"/>
      <c r="O416" t="str">
        <f t="shared" si="63"/>
        <v/>
      </c>
      <c r="R416" s="14"/>
      <c r="S416" s="14"/>
      <c r="T416" t="str">
        <f t="shared" si="57"/>
        <v/>
      </c>
      <c r="U416" s="16" t="str">
        <f t="shared" si="58"/>
        <v/>
      </c>
      <c r="V416" t="str">
        <f>IF(L416="","",COUNTIF($L$354:L416,"Y"))</f>
        <v/>
      </c>
      <c r="W416" t="str">
        <f t="shared" si="64"/>
        <v/>
      </c>
      <c r="X416" t="str">
        <f t="shared" si="59"/>
        <v/>
      </c>
      <c r="Y416" s="14" t="str">
        <f t="shared" si="60"/>
        <v/>
      </c>
      <c r="Z416" s="14" t="str">
        <f t="shared" si="61"/>
        <v/>
      </c>
      <c r="AA416" s="15" t="str">
        <f t="shared" si="56"/>
        <v/>
      </c>
    </row>
    <row r="417" spans="1:27" ht="15.75" x14ac:dyDescent="0.25">
      <c r="A417" s="3" t="s">
        <v>810</v>
      </c>
      <c r="B417" s="3" t="s">
        <v>811</v>
      </c>
      <c r="C417" s="3">
        <v>26.913187000000001</v>
      </c>
      <c r="D417" s="3">
        <v>-99.277026000000006</v>
      </c>
      <c r="E417" s="3" t="s">
        <v>814</v>
      </c>
      <c r="F417" s="3" t="s">
        <v>1050</v>
      </c>
      <c r="G417" s="3">
        <v>0</v>
      </c>
      <c r="H417" s="65" t="s">
        <v>1137</v>
      </c>
      <c r="I417" s="64" t="s">
        <v>1109</v>
      </c>
      <c r="J417" s="64" t="s">
        <v>1109</v>
      </c>
      <c r="K417" s="3">
        <v>64</v>
      </c>
      <c r="L417" t="str">
        <f t="shared" si="62"/>
        <v/>
      </c>
      <c r="M417" s="14"/>
      <c r="N417" s="14"/>
      <c r="O417" t="str">
        <f t="shared" si="63"/>
        <v/>
      </c>
      <c r="R417" s="14"/>
      <c r="S417" s="14"/>
      <c r="T417" t="str">
        <f t="shared" si="57"/>
        <v/>
      </c>
      <c r="U417" s="16" t="str">
        <f t="shared" si="58"/>
        <v/>
      </c>
      <c r="V417" t="str">
        <f>IF(L417="","",COUNTIF($L$354:L417,"Y"))</f>
        <v/>
      </c>
      <c r="W417" t="str">
        <f t="shared" si="64"/>
        <v/>
      </c>
      <c r="X417" t="str">
        <f t="shared" si="59"/>
        <v/>
      </c>
      <c r="Y417" s="14" t="str">
        <f t="shared" si="60"/>
        <v/>
      </c>
      <c r="Z417" s="14" t="str">
        <f t="shared" si="61"/>
        <v/>
      </c>
      <c r="AA417" s="15" t="str">
        <f t="shared" si="56"/>
        <v/>
      </c>
    </row>
    <row r="418" spans="1:27" x14ac:dyDescent="0.25">
      <c r="A418" s="3"/>
      <c r="B418" s="3"/>
      <c r="C418" s="3"/>
      <c r="D418" s="3"/>
      <c r="E418" s="3"/>
      <c r="F418" s="3"/>
      <c r="G418" s="3"/>
      <c r="H418" s="3"/>
      <c r="I418" s="3"/>
      <c r="J418" s="3"/>
      <c r="N418" t="str">
        <f t="shared" ref="N418:N420" si="65">IF(K418="Y",G418,"")</f>
        <v/>
      </c>
    </row>
    <row r="419" spans="1:27" x14ac:dyDescent="0.25">
      <c r="A419" s="3"/>
      <c r="B419" s="3"/>
      <c r="C419" s="3"/>
      <c r="D419" s="3"/>
      <c r="E419" s="3"/>
      <c r="F419" s="3"/>
      <c r="G419" s="3"/>
      <c r="H419" s="3"/>
      <c r="I419" s="3"/>
      <c r="J419" s="3"/>
      <c r="N419" t="str">
        <f t="shared" si="65"/>
        <v/>
      </c>
    </row>
    <row r="420" spans="1:27" x14ac:dyDescent="0.25">
      <c r="A420" s="3" t="s">
        <v>821</v>
      </c>
      <c r="B420" s="3" t="s">
        <v>822</v>
      </c>
      <c r="C420" s="3"/>
      <c r="D420" s="3"/>
      <c r="E420" s="3"/>
      <c r="F420" s="3"/>
      <c r="G420" s="3">
        <v>15000</v>
      </c>
      <c r="H420" s="3"/>
      <c r="I420" s="3"/>
      <c r="J420" s="3"/>
      <c r="N420" t="str">
        <f t="shared" si="65"/>
        <v/>
      </c>
    </row>
  </sheetData>
  <conditionalFormatting sqref="E11:E125">
    <cfRule type="cellIs" dxfId="0" priority="1" operator="equal">
      <formula>"DP"</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Bonuses</vt:lpstr>
      <vt:lpstr>Rider ScoreSheet Helper (a)</vt:lpstr>
      <vt:lpstr>ScoreHelper</vt:lpstr>
      <vt:lpstr>SCORE(1)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Tong</dc:creator>
  <cp:lastModifiedBy>Paul Tong</cp:lastModifiedBy>
  <dcterms:created xsi:type="dcterms:W3CDTF">2024-03-21T18:37:32Z</dcterms:created>
  <dcterms:modified xsi:type="dcterms:W3CDTF">2024-04-18T11:54:58Z</dcterms:modified>
</cp:coreProperties>
</file>